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ahevern\Local Sales Tax\Annual Collections\"/>
    </mc:Choice>
  </mc:AlternateContent>
  <xr:revisionPtr revIDLastSave="0" documentId="13_ncr:1_{C1AE212F-CB65-4654-A013-05598D28026F}" xr6:coauthVersionLast="47" xr6:coauthVersionMax="47" xr10:uidLastSave="{00000000-0000-0000-0000-000000000000}"/>
  <bookViews>
    <workbookView xWindow="-120" yWindow="-120" windowWidth="20730" windowHeight="11160" tabRatio="777" firstSheet="123" activeTab="125" xr2:uid="{00000000-000D-0000-FFFF-FFFF00000000}"/>
  </bookViews>
  <sheets>
    <sheet name="Minneapolis" sheetId="4" r:id="rId1"/>
    <sheet name="St. Paul" sheetId="8" r:id="rId2"/>
    <sheet name="Rochester" sheetId="6" r:id="rId3"/>
    <sheet name="Cook Cty" sheetId="13" r:id="rId4"/>
    <sheet name="Cook Co" sheetId="71" r:id="rId5"/>
    <sheet name="St. Cloud Liq&amp;Food" sheetId="36" r:id="rId6"/>
    <sheet name="Mankato" sheetId="3" r:id="rId7"/>
    <sheet name="Hermantown" sheetId="2" r:id="rId8"/>
    <sheet name="Willmar" sheetId="10" r:id="rId9"/>
    <sheet name="Two Harbors" sheetId="9" r:id="rId10"/>
    <sheet name="Proctor" sheetId="5" r:id="rId11"/>
    <sheet name="New Ulm" sheetId="12" r:id="rId12"/>
    <sheet name="St. Cloud Area" sheetId="7" r:id="rId13"/>
    <sheet name="Bemidji" sheetId="22" r:id="rId14"/>
    <sheet name="Duluth" sheetId="19" r:id="rId15"/>
    <sheet name="Albert Lea" sheetId="15" r:id="rId16"/>
    <sheet name="Baxter" sheetId="17" r:id="rId17"/>
    <sheet name="Hennepin" sheetId="21" r:id="rId18"/>
    <sheet name="Hennepin Co" sheetId="77" r:id="rId19"/>
    <sheet name="Austin" sheetId="16" r:id="rId20"/>
    <sheet name="Brainerd" sheetId="18" r:id="rId21"/>
    <sheet name="Owatonna" sheetId="20" r:id="rId22"/>
    <sheet name="Metro Transit" sheetId="27" r:id="rId23"/>
    <sheet name="North Mankato" sheetId="26" r:id="rId24"/>
    <sheet name="Clearwater" sheetId="29" r:id="rId25"/>
    <sheet name="Worthington" sheetId="28" r:id="rId26"/>
    <sheet name="Detroit Lakes" sheetId="34" r:id="rId27"/>
    <sheet name="GiantsRidge" sheetId="35" r:id="rId28"/>
    <sheet name="FergusFalls" sheetId="38" r:id="rId29"/>
    <sheet name="Hutchinson" sheetId="37" r:id="rId30"/>
    <sheet name="Lanesboro" sheetId="39" r:id="rId31"/>
    <sheet name="Cloquet" sheetId="40" r:id="rId32"/>
    <sheet name="Marshall" sheetId="41" r:id="rId33"/>
    <sheet name="Medford" sheetId="42" r:id="rId34"/>
    <sheet name="Olmsted Co" sheetId="46" r:id="rId35"/>
    <sheet name="Rice Co" sheetId="47" r:id="rId36"/>
    <sheet name="Wadena Co" sheetId="48" r:id="rId37"/>
    <sheet name="Beltrami Co" sheetId="49" r:id="rId38"/>
    <sheet name="Becker Co" sheetId="50" r:id="rId39"/>
    <sheet name="Douglas Co" sheetId="51" r:id="rId40"/>
    <sheet name="Todd Co" sheetId="52" r:id="rId41"/>
    <sheet name="Fillmore Co" sheetId="53" r:id="rId42"/>
    <sheet name="Carlton Cty" sheetId="135" r:id="rId43"/>
    <sheet name="Carlton Co" sheetId="54" r:id="rId44"/>
    <sheet name="St. Louis Co" sheetId="55" r:id="rId45"/>
    <sheet name="Steele Co" sheetId="56" r:id="rId46"/>
    <sheet name="Hubbard Co" sheetId="60" r:id="rId47"/>
    <sheet name="Lyon Co" sheetId="62" r:id="rId48"/>
    <sheet name="Scott Co" sheetId="61" r:id="rId49"/>
    <sheet name="Freeborn Co" sheetId="63" r:id="rId50"/>
    <sheet name="Otter Tail Co" sheetId="64" r:id="rId51"/>
    <sheet name="Cass Co" sheetId="67" r:id="rId52"/>
    <sheet name="Brown Co" sheetId="66" r:id="rId53"/>
    <sheet name="Crow Wing Co" sheetId="69" r:id="rId54"/>
    <sheet name="Wabasha Co" sheetId="70" r:id="rId55"/>
    <sheet name="Chisago Co" sheetId="68" r:id="rId56"/>
    <sheet name="Blue Earth Co" sheetId="65" r:id="rId57"/>
    <sheet name="Winona Co" sheetId="74" r:id="rId58"/>
    <sheet name="Pine Co" sheetId="73" r:id="rId59"/>
    <sheet name="Mille Lacs Co" sheetId="72" r:id="rId60"/>
    <sheet name="Lake Co" sheetId="75" r:id="rId61"/>
    <sheet name="Dakota Co" sheetId="79" r:id="rId62"/>
    <sheet name="Ramsey Co" sheetId="78" r:id="rId63"/>
    <sheet name="Washington Co" sheetId="80" r:id="rId64"/>
    <sheet name="Anoka Co" sheetId="76" r:id="rId65"/>
    <sheet name="Carver Co" sheetId="81" r:id="rId66"/>
    <sheet name="Fairmont" sheetId="85" r:id="rId67"/>
    <sheet name="Clay Cty" sheetId="82" r:id="rId68"/>
    <sheet name="New London" sheetId="86" r:id="rId69"/>
    <sheet name="Wright Co" sheetId="83" r:id="rId70"/>
    <sheet name="Spicer" sheetId="87" r:id="rId71"/>
    <sheet name="Moose Lake" sheetId="84" r:id="rId72"/>
    <sheet name="Walker" sheetId="96" r:id="rId73"/>
    <sheet name="East Grand Forks" sheetId="97" r:id="rId74"/>
    <sheet name="Polk Co" sheetId="91" r:id="rId75"/>
    <sheet name="Mower Co" sheetId="92" r:id="rId76"/>
    <sheet name="Nicollet Co" sheetId="93" r:id="rId77"/>
    <sheet name="Stearns Co" sheetId="94" r:id="rId78"/>
    <sheet name="Morrison Co" sheetId="95" r:id="rId79"/>
    <sheet name="GKWMLL Sanitary" sheetId="98" r:id="rId80"/>
    <sheet name="Kandiyohi Co" sheetId="99" r:id="rId81"/>
    <sheet name="Dodge Co" sheetId="102" r:id="rId82"/>
    <sheet name="Goodhue Co" sheetId="100" r:id="rId83"/>
    <sheet name="Sherburne Co" sheetId="101" r:id="rId84"/>
    <sheet name="Waseca Co" sheetId="104" r:id="rId85"/>
    <sheet name="Redwood Co" sheetId="103" r:id="rId86"/>
    <sheet name="Isanti Co" sheetId="105" r:id="rId87"/>
    <sheet name="Benton Co" sheetId="106" r:id="rId88"/>
    <sheet name="Avon" sheetId="107" r:id="rId89"/>
    <sheet name="Blue Earth" sheetId="108" r:id="rId90"/>
    <sheet name="Cambridge" sheetId="109" r:id="rId91"/>
    <sheet name="Elk River" sheetId="110" r:id="rId92"/>
    <sheet name="Excelsior" sheetId="111" r:id="rId93"/>
    <sheet name="Int. Falls" sheetId="112" r:id="rId94"/>
    <sheet name="Rogers" sheetId="113" r:id="rId95"/>
    <sheet name="Glenwood" sheetId="118" r:id="rId96"/>
    <sheet name="Perham" sheetId="119" r:id="rId97"/>
    <sheet name="Virginia" sheetId="120" r:id="rId98"/>
    <sheet name="West St. Paul" sheetId="114" r:id="rId99"/>
    <sheet name="McLeod Co" sheetId="116" r:id="rId100"/>
    <sheet name="Sauk Centre" sheetId="115" r:id="rId101"/>
    <sheet name="Scanlon" sheetId="121" r:id="rId102"/>
    <sheet name="Kanabec Co" sheetId="117" r:id="rId103"/>
    <sheet name="Nobles Co" sheetId="122" r:id="rId104"/>
    <sheet name="LotW Lodg" sheetId="123" r:id="rId105"/>
    <sheet name="Le Sueur Co" sheetId="124" r:id="rId106"/>
    <sheet name="Roseau Co" sheetId="125" r:id="rId107"/>
    <sheet name="Koochiching Co" sheetId="126" r:id="rId108"/>
    <sheet name="St Peter" sheetId="127" r:id="rId109"/>
    <sheet name="Norman Co" sheetId="128" r:id="rId110"/>
    <sheet name="Renville Co" sheetId="129" r:id="rId111"/>
    <sheet name="Waite Park" sheetId="131" r:id="rId112"/>
    <sheet name="Edina" sheetId="136" r:id="rId113"/>
    <sheet name="Moorhead" sheetId="132" r:id="rId114"/>
    <sheet name="Itasca Cty" sheetId="130" r:id="rId115"/>
    <sheet name="Grand Rapids" sheetId="133" r:id="rId116"/>
    <sheet name="Woodbury Lodg" sheetId="137" r:id="rId117"/>
    <sheet name="Maple Grove" sheetId="134" r:id="rId118"/>
    <sheet name="Warren" sheetId="138" r:id="rId119"/>
    <sheet name="Oakdale" sheetId="139" r:id="rId120"/>
    <sheet name="Staples" sheetId="140" r:id="rId121"/>
    <sheet name="Litchfield" sheetId="141" r:id="rId122"/>
    <sheet name="Metro Transpo" sheetId="142" r:id="rId123"/>
    <sheet name="Metro Housing" sheetId="143" r:id="rId124"/>
    <sheet name="TotalCY23 Cities" sheetId="45" r:id="rId125"/>
    <sheet name="TotalCY23 Transit" sheetId="89" r:id="rId126"/>
  </sheets>
  <definedNames>
    <definedName name="_AMO_UniqueIdentifier" hidden="1">"'a763645d-22a5-48d7-bb71-78d1ab25326c'"</definedName>
    <definedName name="_xlnm.Print_Area" localSheetId="13">Bemidji!$A$1:$L$36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11" i="45" l="1"/>
  <c r="AQ25" i="45"/>
  <c r="AQ26" i="45"/>
  <c r="AQ27" i="45"/>
  <c r="AQ28" i="45"/>
  <c r="AQ29" i="45"/>
  <c r="AQ30" i="45"/>
  <c r="AQ31" i="45"/>
  <c r="AQ32" i="45"/>
  <c r="AQ33" i="45"/>
  <c r="AQ34" i="45"/>
  <c r="AQ35" i="45"/>
  <c r="AQ24" i="45"/>
  <c r="AQ6" i="45"/>
  <c r="AQ7" i="45"/>
  <c r="AQ8" i="45"/>
  <c r="AQ9" i="45"/>
  <c r="AQ10" i="45"/>
  <c r="AQ11" i="45"/>
  <c r="AQ12" i="45"/>
  <c r="AQ13" i="45"/>
  <c r="AQ14" i="45"/>
  <c r="AQ15" i="45"/>
  <c r="AQ16" i="45"/>
  <c r="AQ18" i="45" s="1"/>
  <c r="AQ5" i="45"/>
  <c r="AB26" i="89"/>
  <c r="AB27" i="89"/>
  <c r="BH24" i="89"/>
  <c r="BH25" i="89"/>
  <c r="BH26" i="89"/>
  <c r="BH27" i="89"/>
  <c r="BH28" i="89"/>
  <c r="BH29" i="89"/>
  <c r="BH30" i="89"/>
  <c r="BH31" i="89"/>
  <c r="BH32" i="89"/>
  <c r="BH23" i="89"/>
  <c r="BH6" i="89"/>
  <c r="BH7" i="89"/>
  <c r="BH8" i="89"/>
  <c r="BH9" i="89"/>
  <c r="BH10" i="89"/>
  <c r="BH11" i="89"/>
  <c r="BH12" i="89"/>
  <c r="BH13" i="89"/>
  <c r="BH14" i="89"/>
  <c r="BH5" i="89"/>
  <c r="BG24" i="89"/>
  <c r="BG25" i="89"/>
  <c r="BG26" i="89"/>
  <c r="BG27" i="89"/>
  <c r="BG28" i="89"/>
  <c r="BG29" i="89"/>
  <c r="BG30" i="89"/>
  <c r="BG31" i="89"/>
  <c r="BG32" i="89"/>
  <c r="BG33" i="89"/>
  <c r="BG36" i="89" s="1"/>
  <c r="BG34" i="89"/>
  <c r="BG23" i="89"/>
  <c r="BG18" i="89"/>
  <c r="BG15" i="89"/>
  <c r="BG16" i="89"/>
  <c r="BG6" i="89"/>
  <c r="BG7" i="89"/>
  <c r="BG8" i="89"/>
  <c r="BG9" i="89"/>
  <c r="BG10" i="89"/>
  <c r="BG11" i="89"/>
  <c r="BG12" i="89"/>
  <c r="BG13" i="89"/>
  <c r="BG14" i="89"/>
  <c r="BG5" i="89"/>
  <c r="U54" i="143"/>
  <c r="U36" i="143"/>
  <c r="U17" i="143"/>
  <c r="U54" i="142"/>
  <c r="U36" i="142"/>
  <c r="U17" i="142"/>
  <c r="O25" i="45"/>
  <c r="O26" i="45"/>
  <c r="O27" i="45"/>
  <c r="O28" i="45"/>
  <c r="O29" i="45"/>
  <c r="O30" i="45"/>
  <c r="O31" i="45"/>
  <c r="O32" i="45"/>
  <c r="O33" i="45"/>
  <c r="O34" i="45"/>
  <c r="O35" i="45"/>
  <c r="AK25" i="45"/>
  <c r="AK26" i="45"/>
  <c r="AK27" i="45"/>
  <c r="AK28" i="45"/>
  <c r="AK29" i="45"/>
  <c r="AK30" i="45"/>
  <c r="AK31" i="45"/>
  <c r="AK32" i="45"/>
  <c r="AK33" i="45"/>
  <c r="AK34" i="45"/>
  <c r="AK35" i="45"/>
  <c r="AK24" i="45"/>
  <c r="AK6" i="45"/>
  <c r="AK7" i="45"/>
  <c r="AK8" i="45"/>
  <c r="AK9" i="45"/>
  <c r="AK10" i="45"/>
  <c r="AK11" i="45"/>
  <c r="AK12" i="45"/>
  <c r="AK13" i="45"/>
  <c r="AK14" i="45"/>
  <c r="AK15" i="45"/>
  <c r="AK16" i="45"/>
  <c r="AK5" i="45"/>
  <c r="U54" i="141"/>
  <c r="T54" i="141"/>
  <c r="U36" i="141"/>
  <c r="T36" i="141"/>
  <c r="U17" i="141"/>
  <c r="U16" i="4"/>
  <c r="AX25" i="45"/>
  <c r="AX26" i="45"/>
  <c r="AX27" i="45"/>
  <c r="AX28" i="45"/>
  <c r="AX29" i="45"/>
  <c r="AX30" i="45"/>
  <c r="AX31" i="45"/>
  <c r="AX32" i="45"/>
  <c r="AX33" i="45"/>
  <c r="AX34" i="45"/>
  <c r="AX35" i="45"/>
  <c r="AX24" i="45"/>
  <c r="AX6" i="45"/>
  <c r="AX7" i="45"/>
  <c r="AX8" i="45"/>
  <c r="AX9" i="45"/>
  <c r="AX10" i="45"/>
  <c r="AX11" i="45"/>
  <c r="AX12" i="45"/>
  <c r="AX13" i="45"/>
  <c r="AX14" i="45"/>
  <c r="AX15" i="45"/>
  <c r="AX16" i="45"/>
  <c r="AX5" i="45"/>
  <c r="BG25" i="45"/>
  <c r="BG26" i="45"/>
  <c r="BG27" i="45"/>
  <c r="BG28" i="45"/>
  <c r="BG29" i="45"/>
  <c r="BG30" i="45"/>
  <c r="BG31" i="45"/>
  <c r="BG32" i="45"/>
  <c r="BG33" i="45"/>
  <c r="BG34" i="45"/>
  <c r="BG35" i="45"/>
  <c r="BG24" i="45"/>
  <c r="BG6" i="45"/>
  <c r="BG7" i="45"/>
  <c r="BG8" i="45"/>
  <c r="BG9" i="45"/>
  <c r="BG10" i="45"/>
  <c r="BG11" i="45"/>
  <c r="BG12" i="45"/>
  <c r="BG13" i="45"/>
  <c r="BG14" i="45"/>
  <c r="BG15" i="45"/>
  <c r="BG16" i="45"/>
  <c r="BG5" i="45"/>
  <c r="BO25" i="45"/>
  <c r="BO26" i="45"/>
  <c r="BO27" i="45"/>
  <c r="BO28" i="45"/>
  <c r="BO29" i="45"/>
  <c r="BO30" i="45"/>
  <c r="BO31" i="45"/>
  <c r="BO32" i="45"/>
  <c r="BO33" i="45"/>
  <c r="BO34" i="45"/>
  <c r="BO35" i="45"/>
  <c r="BO24" i="45"/>
  <c r="BO6" i="45"/>
  <c r="BO7" i="45"/>
  <c r="BO8" i="45"/>
  <c r="BO9" i="45"/>
  <c r="BO10" i="45"/>
  <c r="BO11" i="45"/>
  <c r="BO12" i="45"/>
  <c r="BO13" i="45"/>
  <c r="BO14" i="45"/>
  <c r="BO15" i="45"/>
  <c r="BO16" i="45"/>
  <c r="BO5" i="45"/>
  <c r="BT18" i="45"/>
  <c r="BT37" i="45"/>
  <c r="T25" i="45"/>
  <c r="T26" i="45"/>
  <c r="T27" i="45"/>
  <c r="T28" i="45"/>
  <c r="T29" i="45"/>
  <c r="T30" i="45"/>
  <c r="T31" i="45"/>
  <c r="T32" i="45"/>
  <c r="T33" i="45"/>
  <c r="T34" i="45"/>
  <c r="T35" i="45"/>
  <c r="T6" i="45"/>
  <c r="T7" i="45"/>
  <c r="T8" i="45"/>
  <c r="T9" i="45"/>
  <c r="T10" i="45"/>
  <c r="T11" i="45"/>
  <c r="T12" i="45"/>
  <c r="T13" i="45"/>
  <c r="T14" i="45"/>
  <c r="T15" i="45"/>
  <c r="T16" i="45"/>
  <c r="T5" i="45"/>
  <c r="T24" i="45"/>
  <c r="U54" i="140"/>
  <c r="T54" i="140"/>
  <c r="U36" i="140"/>
  <c r="T36" i="140"/>
  <c r="U17" i="140"/>
  <c r="T17" i="140"/>
  <c r="U54" i="139"/>
  <c r="T54" i="139"/>
  <c r="U36" i="139"/>
  <c r="T36" i="139"/>
  <c r="U17" i="139"/>
  <c r="T17" i="139"/>
  <c r="U54" i="138"/>
  <c r="T54" i="138"/>
  <c r="U36" i="138"/>
  <c r="T36" i="138"/>
  <c r="U17" i="138"/>
  <c r="T17" i="138"/>
  <c r="U17" i="137"/>
  <c r="BT39" i="45" s="1"/>
  <c r="T17" i="137"/>
  <c r="S17" i="137"/>
  <c r="U54" i="136"/>
  <c r="T54" i="136"/>
  <c r="U36" i="136"/>
  <c r="T36" i="136"/>
  <c r="U17" i="136"/>
  <c r="T17" i="136"/>
  <c r="U54" i="135"/>
  <c r="T54" i="135"/>
  <c r="S54" i="135"/>
  <c r="R54" i="135"/>
  <c r="Q54" i="135"/>
  <c r="P54" i="135"/>
  <c r="O54" i="135"/>
  <c r="N54" i="135"/>
  <c r="M54" i="135"/>
  <c r="U36" i="135"/>
  <c r="T36" i="135"/>
  <c r="S36" i="135"/>
  <c r="R36" i="135"/>
  <c r="Q36" i="135"/>
  <c r="P36" i="135"/>
  <c r="O36" i="135"/>
  <c r="N36" i="135"/>
  <c r="M36" i="135"/>
  <c r="U17" i="135"/>
  <c r="T17" i="135"/>
  <c r="S17" i="135"/>
  <c r="R17" i="135"/>
  <c r="Q17" i="135"/>
  <c r="P17" i="135"/>
  <c r="O17" i="135"/>
  <c r="N17" i="135"/>
  <c r="M17" i="135"/>
  <c r="AQ37" i="45" l="1"/>
  <c r="BG41" i="89"/>
  <c r="AK37" i="45"/>
  <c r="AK18" i="45"/>
  <c r="AX18" i="45"/>
  <c r="AX37" i="45"/>
  <c r="BO37" i="45"/>
  <c r="BG37" i="45"/>
  <c r="BG18" i="45"/>
  <c r="BO18" i="45"/>
  <c r="T37" i="45"/>
  <c r="T18" i="45"/>
  <c r="AG25" i="45"/>
  <c r="AG26" i="45"/>
  <c r="AG27" i="45"/>
  <c r="AG28" i="45"/>
  <c r="AG29" i="45"/>
  <c r="AG30" i="45"/>
  <c r="AG31" i="45"/>
  <c r="AG32" i="45"/>
  <c r="AG33" i="45"/>
  <c r="AG34" i="45"/>
  <c r="AG35" i="45"/>
  <c r="AG24" i="45"/>
  <c r="AG6" i="45"/>
  <c r="AG7" i="45"/>
  <c r="AG8" i="45"/>
  <c r="AG9" i="45"/>
  <c r="AG10" i="45"/>
  <c r="AG11" i="45"/>
  <c r="AG12" i="45"/>
  <c r="AG13" i="45"/>
  <c r="AG14" i="45"/>
  <c r="AG15" i="45"/>
  <c r="AG16" i="45"/>
  <c r="AG5" i="45"/>
  <c r="AB25" i="45"/>
  <c r="AB26" i="45"/>
  <c r="AB27" i="45"/>
  <c r="AB28" i="45"/>
  <c r="AB29" i="45"/>
  <c r="AB30" i="45"/>
  <c r="AB31" i="45"/>
  <c r="AB32" i="45"/>
  <c r="AB33" i="45"/>
  <c r="AB34" i="45"/>
  <c r="AB35" i="45"/>
  <c r="AB24" i="45"/>
  <c r="AB6" i="45"/>
  <c r="AB7" i="45"/>
  <c r="AB8" i="45"/>
  <c r="AB9" i="45"/>
  <c r="AB10" i="45"/>
  <c r="AB11" i="45"/>
  <c r="AB12" i="45"/>
  <c r="AB13" i="45"/>
  <c r="AB14" i="45"/>
  <c r="AB15" i="45"/>
  <c r="AB16" i="45"/>
  <c r="AB5" i="45"/>
  <c r="AN25" i="45"/>
  <c r="AN26" i="45"/>
  <c r="AN27" i="45"/>
  <c r="AN28" i="45"/>
  <c r="AN29" i="45"/>
  <c r="AN30" i="45"/>
  <c r="AN31" i="45"/>
  <c r="AN32" i="45"/>
  <c r="AN33" i="45"/>
  <c r="AN34" i="45"/>
  <c r="AN35" i="45"/>
  <c r="AN24" i="45"/>
  <c r="AN6" i="45"/>
  <c r="AN7" i="45"/>
  <c r="AN8" i="45"/>
  <c r="AN9" i="45"/>
  <c r="AN10" i="45"/>
  <c r="AN11" i="45"/>
  <c r="AN12" i="45"/>
  <c r="AN13" i="45"/>
  <c r="AN14" i="45"/>
  <c r="AN15" i="45"/>
  <c r="AN16" i="45"/>
  <c r="AN5" i="45"/>
  <c r="AS25" i="45"/>
  <c r="AS26" i="45"/>
  <c r="AS27" i="45"/>
  <c r="AS28" i="45"/>
  <c r="AS29" i="45"/>
  <c r="AS30" i="45"/>
  <c r="AS31" i="45"/>
  <c r="AS32" i="45"/>
  <c r="AS33" i="45"/>
  <c r="AS34" i="45"/>
  <c r="AS35" i="45"/>
  <c r="AS24" i="45"/>
  <c r="AS6" i="45"/>
  <c r="AS7" i="45"/>
  <c r="AS8" i="45"/>
  <c r="AS9" i="45"/>
  <c r="AS10" i="45"/>
  <c r="AS11" i="45"/>
  <c r="AS12" i="45"/>
  <c r="AS13" i="45"/>
  <c r="AS14" i="45"/>
  <c r="AS15" i="45"/>
  <c r="AS16" i="45"/>
  <c r="AS5" i="45"/>
  <c r="BM25" i="45"/>
  <c r="BM26" i="45"/>
  <c r="BM27" i="45"/>
  <c r="BM28" i="45"/>
  <c r="BM29" i="45"/>
  <c r="BM30" i="45"/>
  <c r="BM31" i="45"/>
  <c r="BM32" i="45"/>
  <c r="BM33" i="45"/>
  <c r="BM34" i="45"/>
  <c r="BM35" i="45"/>
  <c r="BM24" i="45"/>
  <c r="BM6" i="45"/>
  <c r="BM7" i="45"/>
  <c r="BM8" i="45"/>
  <c r="BM9" i="45"/>
  <c r="BM10" i="45"/>
  <c r="BM11" i="45"/>
  <c r="BM12" i="45"/>
  <c r="BM13" i="45"/>
  <c r="BM14" i="45"/>
  <c r="BM15" i="45"/>
  <c r="BM16" i="45"/>
  <c r="BM5" i="45"/>
  <c r="U54" i="134"/>
  <c r="T54" i="134"/>
  <c r="U36" i="134"/>
  <c r="T36" i="134"/>
  <c r="U17" i="134"/>
  <c r="T17" i="134"/>
  <c r="U54" i="133"/>
  <c r="T54" i="133"/>
  <c r="U36" i="133"/>
  <c r="T36" i="133"/>
  <c r="U17" i="133"/>
  <c r="T17" i="133"/>
  <c r="U54" i="132"/>
  <c r="T54" i="132"/>
  <c r="U36" i="132"/>
  <c r="T36" i="132"/>
  <c r="U17" i="132"/>
  <c r="T17" i="132"/>
  <c r="U54" i="131"/>
  <c r="T54" i="131"/>
  <c r="U36" i="131"/>
  <c r="T36" i="131"/>
  <c r="U17" i="131"/>
  <c r="T17" i="131"/>
  <c r="U54" i="130"/>
  <c r="U36" i="130"/>
  <c r="U17" i="130"/>
  <c r="BF24" i="89"/>
  <c r="BF25" i="89"/>
  <c r="BF26" i="89"/>
  <c r="BF27" i="89"/>
  <c r="BF28" i="89"/>
  <c r="BF29" i="89"/>
  <c r="BF30" i="89"/>
  <c r="BF31" i="89"/>
  <c r="BF32" i="89"/>
  <c r="BF33" i="89"/>
  <c r="BF34" i="89"/>
  <c r="BF23" i="89"/>
  <c r="BF6" i="89"/>
  <c r="BF7" i="89"/>
  <c r="BF8" i="89"/>
  <c r="BF9" i="89"/>
  <c r="BF10" i="89"/>
  <c r="BF11" i="89"/>
  <c r="BF12" i="89"/>
  <c r="BF13" i="89"/>
  <c r="BF14" i="89"/>
  <c r="BF15" i="89"/>
  <c r="BF16" i="89"/>
  <c r="BF5" i="89"/>
  <c r="U54" i="129"/>
  <c r="U36" i="129"/>
  <c r="U17" i="129"/>
  <c r="BF36" i="89" l="1"/>
  <c r="AN18" i="45"/>
  <c r="AG37" i="45"/>
  <c r="AN37" i="45"/>
  <c r="AG18" i="45"/>
  <c r="AB37" i="45"/>
  <c r="AB18" i="45"/>
  <c r="AS18" i="45"/>
  <c r="AS37" i="45"/>
  <c r="BM37" i="45"/>
  <c r="BM18" i="45"/>
  <c r="BF18" i="89"/>
  <c r="C24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AS24" i="89"/>
  <c r="AT24" i="89"/>
  <c r="AU24" i="89"/>
  <c r="AV24" i="89"/>
  <c r="AW24" i="89"/>
  <c r="AX24" i="89"/>
  <c r="AY24" i="89"/>
  <c r="AZ24" i="89"/>
  <c r="BA24" i="89"/>
  <c r="BB24" i="89"/>
  <c r="BC24" i="89"/>
  <c r="BD24" i="89"/>
  <c r="BE24" i="89"/>
  <c r="C25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AS25" i="89"/>
  <c r="AT25" i="89"/>
  <c r="AU25" i="89"/>
  <c r="AV25" i="89"/>
  <c r="AW25" i="89"/>
  <c r="AX25" i="89"/>
  <c r="AY25" i="89"/>
  <c r="AZ25" i="89"/>
  <c r="BA25" i="89"/>
  <c r="BB25" i="89"/>
  <c r="BC25" i="89"/>
  <c r="BD25" i="89"/>
  <c r="BE25" i="89"/>
  <c r="C26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AS26" i="89"/>
  <c r="AT26" i="89"/>
  <c r="AU26" i="89"/>
  <c r="AV26" i="89"/>
  <c r="AW26" i="89"/>
  <c r="AX26" i="89"/>
  <c r="AY26" i="89"/>
  <c r="AZ26" i="89"/>
  <c r="BA26" i="89"/>
  <c r="BB26" i="89"/>
  <c r="BC26" i="89"/>
  <c r="BD26" i="89"/>
  <c r="BE26" i="89"/>
  <c r="C27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AS27" i="89"/>
  <c r="AT27" i="89"/>
  <c r="AU27" i="89"/>
  <c r="AV27" i="89"/>
  <c r="AW27" i="89"/>
  <c r="AX27" i="89"/>
  <c r="AY27" i="89"/>
  <c r="AZ27" i="89"/>
  <c r="BA27" i="89"/>
  <c r="BB27" i="89"/>
  <c r="BC27" i="89"/>
  <c r="BD27" i="89"/>
  <c r="BE27" i="89"/>
  <c r="C28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AS28" i="89"/>
  <c r="AT28" i="89"/>
  <c r="AU28" i="89"/>
  <c r="AV28" i="89"/>
  <c r="AW28" i="89"/>
  <c r="AX28" i="89"/>
  <c r="AY28" i="89"/>
  <c r="AZ28" i="89"/>
  <c r="BA28" i="89"/>
  <c r="BB28" i="89"/>
  <c r="BC28" i="89"/>
  <c r="BD28" i="89"/>
  <c r="BE28" i="89"/>
  <c r="C29" i="89"/>
  <c r="D29" i="89"/>
  <c r="E29" i="89"/>
  <c r="F29" i="89"/>
  <c r="G29" i="89"/>
  <c r="H29" i="89"/>
  <c r="I29" i="89"/>
  <c r="J29" i="89"/>
  <c r="K29" i="89"/>
  <c r="L29" i="89"/>
  <c r="M29" i="89"/>
  <c r="N29" i="89"/>
  <c r="O29" i="89"/>
  <c r="P29" i="89"/>
  <c r="Q29" i="89"/>
  <c r="R29" i="89"/>
  <c r="S29" i="89"/>
  <c r="T29" i="89"/>
  <c r="U29" i="89"/>
  <c r="V29" i="89"/>
  <c r="W29" i="89"/>
  <c r="X29" i="89"/>
  <c r="Y29" i="89"/>
  <c r="Z29" i="89"/>
  <c r="AA29" i="89"/>
  <c r="AB29" i="89"/>
  <c r="AC29" i="89"/>
  <c r="AD29" i="89"/>
  <c r="AE29" i="89"/>
  <c r="AF29" i="89"/>
  <c r="AG29" i="89"/>
  <c r="AH29" i="89"/>
  <c r="AI29" i="89"/>
  <c r="AJ29" i="89"/>
  <c r="AK29" i="89"/>
  <c r="AL29" i="89"/>
  <c r="AM29" i="89"/>
  <c r="AN29" i="89"/>
  <c r="AO29" i="89"/>
  <c r="AP29" i="89"/>
  <c r="AQ29" i="89"/>
  <c r="AR29" i="89"/>
  <c r="AS29" i="89"/>
  <c r="AT29" i="89"/>
  <c r="AU29" i="89"/>
  <c r="AV29" i="89"/>
  <c r="AW29" i="89"/>
  <c r="AX29" i="89"/>
  <c r="AY29" i="89"/>
  <c r="AZ29" i="89"/>
  <c r="BA29" i="89"/>
  <c r="BB29" i="89"/>
  <c r="BC29" i="89"/>
  <c r="BD29" i="89"/>
  <c r="BE29" i="89"/>
  <c r="C30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AS30" i="89"/>
  <c r="AT30" i="89"/>
  <c r="AU30" i="89"/>
  <c r="AV30" i="89"/>
  <c r="AW30" i="89"/>
  <c r="AX30" i="89"/>
  <c r="AY30" i="89"/>
  <c r="AZ30" i="89"/>
  <c r="BA30" i="89"/>
  <c r="BB30" i="89"/>
  <c r="BC30" i="89"/>
  <c r="BD30" i="89"/>
  <c r="BE30" i="89"/>
  <c r="C31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AS31" i="89"/>
  <c r="AT31" i="89"/>
  <c r="AU31" i="89"/>
  <c r="AV31" i="89"/>
  <c r="AW31" i="89"/>
  <c r="AX31" i="89"/>
  <c r="AY31" i="89"/>
  <c r="AZ31" i="89"/>
  <c r="BA31" i="89"/>
  <c r="BB31" i="89"/>
  <c r="BC31" i="89"/>
  <c r="BD31" i="89"/>
  <c r="BE31" i="89"/>
  <c r="C32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AS32" i="89"/>
  <c r="AT32" i="89"/>
  <c r="AU32" i="89"/>
  <c r="AV32" i="89"/>
  <c r="AW32" i="89"/>
  <c r="AX32" i="89"/>
  <c r="AY32" i="89"/>
  <c r="AZ32" i="89"/>
  <c r="BA32" i="89"/>
  <c r="BB32" i="89"/>
  <c r="BC32" i="89"/>
  <c r="BD32" i="89"/>
  <c r="BE32" i="89"/>
  <c r="C33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AS33" i="89"/>
  <c r="AT33" i="89"/>
  <c r="AU33" i="89"/>
  <c r="AV33" i="89"/>
  <c r="AW33" i="89"/>
  <c r="AX33" i="89"/>
  <c r="AY33" i="89"/>
  <c r="AZ33" i="89"/>
  <c r="BA33" i="89"/>
  <c r="BB33" i="89"/>
  <c r="BC33" i="89"/>
  <c r="BD33" i="89"/>
  <c r="BE33" i="89"/>
  <c r="C34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AS34" i="89"/>
  <c r="AT34" i="89"/>
  <c r="AU34" i="89"/>
  <c r="AV34" i="89"/>
  <c r="AW34" i="89"/>
  <c r="AX34" i="89"/>
  <c r="AY34" i="89"/>
  <c r="AZ34" i="89"/>
  <c r="BA34" i="89"/>
  <c r="BB34" i="89"/>
  <c r="BC34" i="89"/>
  <c r="BD34" i="89"/>
  <c r="BE34" i="89"/>
  <c r="BE23" i="89"/>
  <c r="BD23" i="89"/>
  <c r="BC23" i="89"/>
  <c r="BB23" i="89"/>
  <c r="BA23" i="89"/>
  <c r="AZ23" i="89"/>
  <c r="AY23" i="89"/>
  <c r="AX23" i="89"/>
  <c r="AW23" i="89"/>
  <c r="AV23" i="89"/>
  <c r="AU23" i="89"/>
  <c r="AT23" i="89"/>
  <c r="AS23" i="89"/>
  <c r="AR23" i="89"/>
  <c r="AQ23" i="89"/>
  <c r="AP23" i="89"/>
  <c r="AO23" i="89"/>
  <c r="AN23" i="89"/>
  <c r="AM23" i="89"/>
  <c r="AL23" i="89"/>
  <c r="AK23" i="89"/>
  <c r="AJ23" i="89"/>
  <c r="AI23" i="89"/>
  <c r="AH23" i="89"/>
  <c r="AG23" i="89"/>
  <c r="AF23" i="89"/>
  <c r="AE23" i="89"/>
  <c r="AD23" i="89"/>
  <c r="AC23" i="89"/>
  <c r="AB23" i="89"/>
  <c r="AA23" i="89"/>
  <c r="Z23" i="89"/>
  <c r="Y23" i="89"/>
  <c r="X23" i="89"/>
  <c r="W23" i="89"/>
  <c r="V23" i="89"/>
  <c r="U23" i="89"/>
  <c r="T23" i="89"/>
  <c r="S23" i="89"/>
  <c r="R23" i="89"/>
  <c r="Q23" i="89"/>
  <c r="P23" i="89"/>
  <c r="O23" i="89"/>
  <c r="N23" i="89"/>
  <c r="M23" i="89"/>
  <c r="L23" i="89"/>
  <c r="K23" i="89"/>
  <c r="J23" i="89"/>
  <c r="I23" i="89"/>
  <c r="H23" i="89"/>
  <c r="G23" i="89"/>
  <c r="F23" i="89"/>
  <c r="E23" i="89"/>
  <c r="D23" i="89"/>
  <c r="C23" i="89"/>
  <c r="C6" i="89"/>
  <c r="D6" i="89"/>
  <c r="E6" i="89"/>
  <c r="F6" i="89"/>
  <c r="G6" i="89"/>
  <c r="H6" i="89"/>
  <c r="I6" i="89"/>
  <c r="J6" i="89"/>
  <c r="K6" i="89"/>
  <c r="L6" i="89"/>
  <c r="M6" i="89"/>
  <c r="N6" i="89"/>
  <c r="O6" i="89"/>
  <c r="P6" i="89"/>
  <c r="Q6" i="89"/>
  <c r="R6" i="89"/>
  <c r="S6" i="89"/>
  <c r="T6" i="89"/>
  <c r="U6" i="89"/>
  <c r="V6" i="89"/>
  <c r="W6" i="89"/>
  <c r="X6" i="89"/>
  <c r="Y6" i="89"/>
  <c r="Z6" i="89"/>
  <c r="AA6" i="89"/>
  <c r="AB6" i="89"/>
  <c r="AC6" i="89"/>
  <c r="AD6" i="89"/>
  <c r="AE6" i="89"/>
  <c r="AF6" i="89"/>
  <c r="AG6" i="89"/>
  <c r="AH6" i="89"/>
  <c r="AI6" i="89"/>
  <c r="AJ6" i="89"/>
  <c r="AK6" i="89"/>
  <c r="AL6" i="89"/>
  <c r="AM6" i="89"/>
  <c r="AN6" i="89"/>
  <c r="AO6" i="89"/>
  <c r="AP6" i="89"/>
  <c r="AQ6" i="89"/>
  <c r="AR6" i="89"/>
  <c r="AS6" i="89"/>
  <c r="AT6" i="89"/>
  <c r="AU6" i="89"/>
  <c r="AV6" i="89"/>
  <c r="AW6" i="89"/>
  <c r="AX6" i="89"/>
  <c r="AY6" i="89"/>
  <c r="AZ6" i="89"/>
  <c r="BA6" i="89"/>
  <c r="BB6" i="89"/>
  <c r="BC6" i="89"/>
  <c r="BD6" i="89"/>
  <c r="BE6" i="89"/>
  <c r="C7" i="89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AS7" i="89"/>
  <c r="AT7" i="89"/>
  <c r="AU7" i="89"/>
  <c r="AV7" i="89"/>
  <c r="AW7" i="89"/>
  <c r="AX7" i="89"/>
  <c r="AY7" i="89"/>
  <c r="AZ7" i="89"/>
  <c r="BA7" i="89"/>
  <c r="BB7" i="89"/>
  <c r="BC7" i="89"/>
  <c r="BD7" i="89"/>
  <c r="BE7" i="89"/>
  <c r="C8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AS8" i="89"/>
  <c r="AT8" i="89"/>
  <c r="AU8" i="89"/>
  <c r="AV8" i="89"/>
  <c r="AW8" i="89"/>
  <c r="AX8" i="89"/>
  <c r="AY8" i="89"/>
  <c r="AZ8" i="89"/>
  <c r="BA8" i="89"/>
  <c r="BB8" i="89"/>
  <c r="BC8" i="89"/>
  <c r="BD8" i="89"/>
  <c r="BE8" i="89"/>
  <c r="C9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AS9" i="89"/>
  <c r="AT9" i="89"/>
  <c r="AU9" i="89"/>
  <c r="AV9" i="89"/>
  <c r="AW9" i="89"/>
  <c r="AX9" i="89"/>
  <c r="AY9" i="89"/>
  <c r="AZ9" i="89"/>
  <c r="BA9" i="89"/>
  <c r="BB9" i="89"/>
  <c r="BC9" i="89"/>
  <c r="BD9" i="89"/>
  <c r="BE9" i="89"/>
  <c r="C10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AS10" i="89"/>
  <c r="AT10" i="89"/>
  <c r="AU10" i="89"/>
  <c r="AV10" i="89"/>
  <c r="AW10" i="89"/>
  <c r="AX10" i="89"/>
  <c r="AY10" i="89"/>
  <c r="AZ10" i="89"/>
  <c r="BA10" i="89"/>
  <c r="BB10" i="89"/>
  <c r="BC10" i="89"/>
  <c r="BD10" i="89"/>
  <c r="BE10" i="89"/>
  <c r="C11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AS11" i="89"/>
  <c r="AT11" i="89"/>
  <c r="AU11" i="89"/>
  <c r="AV11" i="89"/>
  <c r="AW11" i="89"/>
  <c r="AX11" i="89"/>
  <c r="AY11" i="89"/>
  <c r="AZ11" i="89"/>
  <c r="BA11" i="89"/>
  <c r="BB11" i="89"/>
  <c r="BC11" i="89"/>
  <c r="BD11" i="89"/>
  <c r="BE11" i="89"/>
  <c r="C12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AS12" i="89"/>
  <c r="AT12" i="89"/>
  <c r="AU12" i="89"/>
  <c r="AV12" i="89"/>
  <c r="AW12" i="89"/>
  <c r="AX12" i="89"/>
  <c r="AY12" i="89"/>
  <c r="AZ12" i="89"/>
  <c r="BA12" i="89"/>
  <c r="BB12" i="89"/>
  <c r="BC12" i="89"/>
  <c r="BD12" i="89"/>
  <c r="BE12" i="89"/>
  <c r="C13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AS13" i="89"/>
  <c r="AT13" i="89"/>
  <c r="AU13" i="89"/>
  <c r="AV13" i="89"/>
  <c r="AW13" i="89"/>
  <c r="AX13" i="89"/>
  <c r="AY13" i="89"/>
  <c r="AZ13" i="89"/>
  <c r="BA13" i="89"/>
  <c r="BB13" i="89"/>
  <c r="BC13" i="89"/>
  <c r="BD13" i="89"/>
  <c r="BE13" i="89"/>
  <c r="C14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AS14" i="89"/>
  <c r="AT14" i="89"/>
  <c r="AU14" i="89"/>
  <c r="AV14" i="89"/>
  <c r="AW14" i="89"/>
  <c r="AX14" i="89"/>
  <c r="AY14" i="89"/>
  <c r="AZ14" i="89"/>
  <c r="BA14" i="89"/>
  <c r="BB14" i="89"/>
  <c r="BC14" i="89"/>
  <c r="BD14" i="89"/>
  <c r="BE14" i="89"/>
  <c r="C15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AS15" i="89"/>
  <c r="AT15" i="89"/>
  <c r="AU15" i="89"/>
  <c r="AV15" i="89"/>
  <c r="AW15" i="89"/>
  <c r="AX15" i="89"/>
  <c r="AY15" i="89"/>
  <c r="AZ15" i="89"/>
  <c r="BA15" i="89"/>
  <c r="BB15" i="89"/>
  <c r="BC15" i="89"/>
  <c r="BD15" i="89"/>
  <c r="BE15" i="89"/>
  <c r="C16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AS16" i="89"/>
  <c r="AT16" i="89"/>
  <c r="AU16" i="89"/>
  <c r="AV16" i="89"/>
  <c r="AW16" i="89"/>
  <c r="AX16" i="89"/>
  <c r="AY16" i="89"/>
  <c r="AZ16" i="89"/>
  <c r="BA16" i="89"/>
  <c r="BB16" i="89"/>
  <c r="BC16" i="89"/>
  <c r="BD16" i="89"/>
  <c r="BE16" i="89"/>
  <c r="BE5" i="89"/>
  <c r="BD5" i="89"/>
  <c r="BC5" i="89"/>
  <c r="BB5" i="89"/>
  <c r="BA5" i="89"/>
  <c r="AZ5" i="89"/>
  <c r="AY5" i="89"/>
  <c r="AX5" i="89"/>
  <c r="AW5" i="89"/>
  <c r="AV5" i="89"/>
  <c r="AU5" i="89"/>
  <c r="AT5" i="89"/>
  <c r="AS5" i="89"/>
  <c r="AR5" i="89"/>
  <c r="AQ5" i="89"/>
  <c r="AP5" i="89"/>
  <c r="AO5" i="89"/>
  <c r="AN5" i="89"/>
  <c r="AM5" i="89"/>
  <c r="AL5" i="89"/>
  <c r="AK5" i="89"/>
  <c r="AJ5" i="89"/>
  <c r="AI5" i="89"/>
  <c r="AH5" i="89"/>
  <c r="AG5" i="89"/>
  <c r="AF5" i="89"/>
  <c r="AE5" i="89"/>
  <c r="AD5" i="89"/>
  <c r="AC5" i="89"/>
  <c r="AB5" i="89"/>
  <c r="AA5" i="89"/>
  <c r="Z5" i="89"/>
  <c r="Y5" i="89"/>
  <c r="X5" i="89"/>
  <c r="W5" i="89"/>
  <c r="V5" i="89"/>
  <c r="U5" i="89"/>
  <c r="T5" i="89"/>
  <c r="S5" i="89"/>
  <c r="R5" i="89"/>
  <c r="Q5" i="89"/>
  <c r="P5" i="89"/>
  <c r="O5" i="89"/>
  <c r="N5" i="89"/>
  <c r="M5" i="89"/>
  <c r="L5" i="89"/>
  <c r="K5" i="89"/>
  <c r="J5" i="89"/>
  <c r="I5" i="89"/>
  <c r="H5" i="89"/>
  <c r="G5" i="89"/>
  <c r="F5" i="89"/>
  <c r="E5" i="89"/>
  <c r="D5" i="89"/>
  <c r="C5" i="89"/>
  <c r="AM25" i="45"/>
  <c r="AO25" i="45"/>
  <c r="AP25" i="45"/>
  <c r="AR25" i="45"/>
  <c r="AT25" i="45"/>
  <c r="AU25" i="45"/>
  <c r="AV25" i="45"/>
  <c r="AW25" i="45"/>
  <c r="AY25" i="45"/>
  <c r="AZ25" i="45"/>
  <c r="BA25" i="45"/>
  <c r="BB25" i="45"/>
  <c r="BC25" i="45"/>
  <c r="BD25" i="45"/>
  <c r="BE25" i="45"/>
  <c r="BF25" i="45"/>
  <c r="BH25" i="45"/>
  <c r="BI25" i="45"/>
  <c r="BJ25" i="45"/>
  <c r="BK25" i="45"/>
  <c r="BL25" i="45"/>
  <c r="BN25" i="45"/>
  <c r="BP25" i="45"/>
  <c r="BQ25" i="45"/>
  <c r="BS25" i="45"/>
  <c r="AM26" i="45"/>
  <c r="AO26" i="45"/>
  <c r="AP26" i="45"/>
  <c r="AR26" i="45"/>
  <c r="AT26" i="45"/>
  <c r="AU26" i="45"/>
  <c r="AV26" i="45"/>
  <c r="AW26" i="45"/>
  <c r="AY26" i="45"/>
  <c r="AZ26" i="45"/>
  <c r="BA26" i="45"/>
  <c r="BB26" i="45"/>
  <c r="BC26" i="45"/>
  <c r="BD26" i="45"/>
  <c r="BE26" i="45"/>
  <c r="BF26" i="45"/>
  <c r="BH26" i="45"/>
  <c r="BI26" i="45"/>
  <c r="BJ26" i="45"/>
  <c r="BK26" i="45"/>
  <c r="BL26" i="45"/>
  <c r="BN26" i="45"/>
  <c r="BP26" i="45"/>
  <c r="BQ26" i="45"/>
  <c r="BS26" i="45"/>
  <c r="AM27" i="45"/>
  <c r="AO27" i="45"/>
  <c r="AP27" i="45"/>
  <c r="AR27" i="45"/>
  <c r="AT27" i="45"/>
  <c r="AU27" i="45"/>
  <c r="AV27" i="45"/>
  <c r="AW27" i="45"/>
  <c r="AY27" i="45"/>
  <c r="AZ27" i="45"/>
  <c r="BA27" i="45"/>
  <c r="BB27" i="45"/>
  <c r="BC27" i="45"/>
  <c r="BD27" i="45"/>
  <c r="BE27" i="45"/>
  <c r="BF27" i="45"/>
  <c r="BH27" i="45"/>
  <c r="BI27" i="45"/>
  <c r="BJ27" i="45"/>
  <c r="BK27" i="45"/>
  <c r="BL27" i="45"/>
  <c r="BN27" i="45"/>
  <c r="BP27" i="45"/>
  <c r="BQ27" i="45"/>
  <c r="BS27" i="45"/>
  <c r="AM28" i="45"/>
  <c r="AO28" i="45"/>
  <c r="AP28" i="45"/>
  <c r="AR28" i="45"/>
  <c r="AT28" i="45"/>
  <c r="AU28" i="45"/>
  <c r="AV28" i="45"/>
  <c r="AW28" i="45"/>
  <c r="AY28" i="45"/>
  <c r="AZ28" i="45"/>
  <c r="BA28" i="45"/>
  <c r="BB28" i="45"/>
  <c r="BC28" i="45"/>
  <c r="BD28" i="45"/>
  <c r="BE28" i="45"/>
  <c r="BF28" i="45"/>
  <c r="BH28" i="45"/>
  <c r="BI28" i="45"/>
  <c r="BJ28" i="45"/>
  <c r="BK28" i="45"/>
  <c r="BL28" i="45"/>
  <c r="BN28" i="45"/>
  <c r="BP28" i="45"/>
  <c r="BQ28" i="45"/>
  <c r="BS28" i="45"/>
  <c r="AM29" i="45"/>
  <c r="AO29" i="45"/>
  <c r="AP29" i="45"/>
  <c r="AR29" i="45"/>
  <c r="AT29" i="45"/>
  <c r="AU29" i="45"/>
  <c r="AV29" i="45"/>
  <c r="AW29" i="45"/>
  <c r="AY29" i="45"/>
  <c r="AZ29" i="45"/>
  <c r="BA29" i="45"/>
  <c r="BB29" i="45"/>
  <c r="BC29" i="45"/>
  <c r="BD29" i="45"/>
  <c r="BE29" i="45"/>
  <c r="BF29" i="45"/>
  <c r="BH29" i="45"/>
  <c r="BI29" i="45"/>
  <c r="BJ29" i="45"/>
  <c r="BK29" i="45"/>
  <c r="BL29" i="45"/>
  <c r="BN29" i="45"/>
  <c r="BP29" i="45"/>
  <c r="BQ29" i="45"/>
  <c r="BS29" i="45"/>
  <c r="AM30" i="45"/>
  <c r="AO30" i="45"/>
  <c r="AP30" i="45"/>
  <c r="AR30" i="45"/>
  <c r="AT30" i="45"/>
  <c r="AU30" i="45"/>
  <c r="AV30" i="45"/>
  <c r="AW30" i="45"/>
  <c r="AY30" i="45"/>
  <c r="AZ30" i="45"/>
  <c r="BA30" i="45"/>
  <c r="BB30" i="45"/>
  <c r="BC30" i="45"/>
  <c r="BD30" i="45"/>
  <c r="BE30" i="45"/>
  <c r="BF30" i="45"/>
  <c r="BH30" i="45"/>
  <c r="BI30" i="45"/>
  <c r="BJ30" i="45"/>
  <c r="BK30" i="45"/>
  <c r="BL30" i="45"/>
  <c r="BN30" i="45"/>
  <c r="BP30" i="45"/>
  <c r="BQ30" i="45"/>
  <c r="BS30" i="45"/>
  <c r="AM31" i="45"/>
  <c r="AO31" i="45"/>
  <c r="AP31" i="45"/>
  <c r="AR31" i="45"/>
  <c r="AT31" i="45"/>
  <c r="AU31" i="45"/>
  <c r="AV31" i="45"/>
  <c r="AW31" i="45"/>
  <c r="AY31" i="45"/>
  <c r="AZ31" i="45"/>
  <c r="BA31" i="45"/>
  <c r="BB31" i="45"/>
  <c r="BC31" i="45"/>
  <c r="BD31" i="45"/>
  <c r="BE31" i="45"/>
  <c r="BF31" i="45"/>
  <c r="BH31" i="45"/>
  <c r="BI31" i="45"/>
  <c r="BJ31" i="45"/>
  <c r="BK31" i="45"/>
  <c r="BL31" i="45"/>
  <c r="BN31" i="45"/>
  <c r="BP31" i="45"/>
  <c r="BQ31" i="45"/>
  <c r="BS31" i="45"/>
  <c r="AM32" i="45"/>
  <c r="AO32" i="45"/>
  <c r="AP32" i="45"/>
  <c r="AR32" i="45"/>
  <c r="AT32" i="45"/>
  <c r="AU32" i="45"/>
  <c r="AV32" i="45"/>
  <c r="AW32" i="45"/>
  <c r="AY32" i="45"/>
  <c r="AZ32" i="45"/>
  <c r="BA32" i="45"/>
  <c r="BB32" i="45"/>
  <c r="BC32" i="45"/>
  <c r="BD32" i="45"/>
  <c r="BE32" i="45"/>
  <c r="BF32" i="45"/>
  <c r="BH32" i="45"/>
  <c r="BI32" i="45"/>
  <c r="BJ32" i="45"/>
  <c r="BK32" i="45"/>
  <c r="BL32" i="45"/>
  <c r="BN32" i="45"/>
  <c r="BP32" i="45"/>
  <c r="BQ32" i="45"/>
  <c r="BS32" i="45"/>
  <c r="AM33" i="45"/>
  <c r="AO33" i="45"/>
  <c r="AP33" i="45"/>
  <c r="AR33" i="45"/>
  <c r="AT33" i="45"/>
  <c r="AU33" i="45"/>
  <c r="AV33" i="45"/>
  <c r="AW33" i="45"/>
  <c r="AY33" i="45"/>
  <c r="AZ33" i="45"/>
  <c r="BA33" i="45"/>
  <c r="BB33" i="45"/>
  <c r="BC33" i="45"/>
  <c r="BD33" i="45"/>
  <c r="BE33" i="45"/>
  <c r="BF33" i="45"/>
  <c r="BH33" i="45"/>
  <c r="BI33" i="45"/>
  <c r="BJ33" i="45"/>
  <c r="BK33" i="45"/>
  <c r="BL33" i="45"/>
  <c r="BN33" i="45"/>
  <c r="BP33" i="45"/>
  <c r="BQ33" i="45"/>
  <c r="BS33" i="45"/>
  <c r="AM34" i="45"/>
  <c r="AO34" i="45"/>
  <c r="AP34" i="45"/>
  <c r="AR34" i="45"/>
  <c r="AT34" i="45"/>
  <c r="AU34" i="45"/>
  <c r="AV34" i="45"/>
  <c r="AW34" i="45"/>
  <c r="AY34" i="45"/>
  <c r="AZ34" i="45"/>
  <c r="BA34" i="45"/>
  <c r="BB34" i="45"/>
  <c r="BC34" i="45"/>
  <c r="BD34" i="45"/>
  <c r="BE34" i="45"/>
  <c r="BF34" i="45"/>
  <c r="BH34" i="45"/>
  <c r="BI34" i="45"/>
  <c r="BJ34" i="45"/>
  <c r="BK34" i="45"/>
  <c r="BL34" i="45"/>
  <c r="BN34" i="45"/>
  <c r="BP34" i="45"/>
  <c r="BQ34" i="45"/>
  <c r="BS34" i="45"/>
  <c r="AM35" i="45"/>
  <c r="AO35" i="45"/>
  <c r="AP35" i="45"/>
  <c r="AR35" i="45"/>
  <c r="AT35" i="45"/>
  <c r="AU35" i="45"/>
  <c r="AV35" i="45"/>
  <c r="AW35" i="45"/>
  <c r="AY35" i="45"/>
  <c r="AZ35" i="45"/>
  <c r="BA35" i="45"/>
  <c r="BB35" i="45"/>
  <c r="BC35" i="45"/>
  <c r="BD35" i="45"/>
  <c r="BE35" i="45"/>
  <c r="BF35" i="45"/>
  <c r="BH35" i="45"/>
  <c r="BI35" i="45"/>
  <c r="BJ35" i="45"/>
  <c r="BK35" i="45"/>
  <c r="BL35" i="45"/>
  <c r="BN35" i="45"/>
  <c r="BP35" i="45"/>
  <c r="BQ35" i="45"/>
  <c r="BS35" i="45"/>
  <c r="AM24" i="45"/>
  <c r="AO24" i="45"/>
  <c r="AP24" i="45"/>
  <c r="AR24" i="45"/>
  <c r="AT24" i="45"/>
  <c r="AU24" i="45"/>
  <c r="AV24" i="45"/>
  <c r="AW24" i="45"/>
  <c r="AY24" i="45"/>
  <c r="AZ24" i="45"/>
  <c r="BA24" i="45"/>
  <c r="BB24" i="45"/>
  <c r="BC24" i="45"/>
  <c r="BD24" i="45"/>
  <c r="BE24" i="45"/>
  <c r="BF24" i="45"/>
  <c r="BH24" i="45"/>
  <c r="BI24" i="45"/>
  <c r="BJ24" i="45"/>
  <c r="BK24" i="45"/>
  <c r="BL24" i="45"/>
  <c r="BN24" i="45"/>
  <c r="BP24" i="45"/>
  <c r="BQ24" i="45"/>
  <c r="BS24" i="45"/>
  <c r="AZ6" i="45"/>
  <c r="BA6" i="45"/>
  <c r="BB6" i="45"/>
  <c r="BC6" i="45"/>
  <c r="BD6" i="45"/>
  <c r="BE6" i="45"/>
  <c r="BF6" i="45"/>
  <c r="BH6" i="45"/>
  <c r="BI6" i="45"/>
  <c r="BJ6" i="45"/>
  <c r="BK6" i="45"/>
  <c r="BL6" i="45"/>
  <c r="BN6" i="45"/>
  <c r="BP6" i="45"/>
  <c r="BQ6" i="45"/>
  <c r="BS6" i="45"/>
  <c r="AZ7" i="45"/>
  <c r="BA7" i="45"/>
  <c r="BB7" i="45"/>
  <c r="BC7" i="45"/>
  <c r="BD7" i="45"/>
  <c r="BE7" i="45"/>
  <c r="BF7" i="45"/>
  <c r="BH7" i="45"/>
  <c r="BI7" i="45"/>
  <c r="BJ7" i="45"/>
  <c r="BK7" i="45"/>
  <c r="BL7" i="45"/>
  <c r="BN7" i="45"/>
  <c r="BP7" i="45"/>
  <c r="BQ7" i="45"/>
  <c r="BS7" i="45"/>
  <c r="AZ8" i="45"/>
  <c r="BA8" i="45"/>
  <c r="BB8" i="45"/>
  <c r="BC8" i="45"/>
  <c r="BD8" i="45"/>
  <c r="BE8" i="45"/>
  <c r="BF8" i="45"/>
  <c r="BH8" i="45"/>
  <c r="BI8" i="45"/>
  <c r="BJ8" i="45"/>
  <c r="BK8" i="45"/>
  <c r="BL8" i="45"/>
  <c r="BN8" i="45"/>
  <c r="BP8" i="45"/>
  <c r="BQ8" i="45"/>
  <c r="BS8" i="45"/>
  <c r="AZ9" i="45"/>
  <c r="BA9" i="45"/>
  <c r="BB9" i="45"/>
  <c r="BC9" i="45"/>
  <c r="BD9" i="45"/>
  <c r="BE9" i="45"/>
  <c r="BF9" i="45"/>
  <c r="BH9" i="45"/>
  <c r="BI9" i="45"/>
  <c r="BJ9" i="45"/>
  <c r="BK9" i="45"/>
  <c r="BL9" i="45"/>
  <c r="BN9" i="45"/>
  <c r="BP9" i="45"/>
  <c r="BQ9" i="45"/>
  <c r="BS9" i="45"/>
  <c r="AZ10" i="45"/>
  <c r="BA10" i="45"/>
  <c r="BB10" i="45"/>
  <c r="BC10" i="45"/>
  <c r="BD10" i="45"/>
  <c r="BE10" i="45"/>
  <c r="BF10" i="45"/>
  <c r="BH10" i="45"/>
  <c r="BI10" i="45"/>
  <c r="BJ10" i="45"/>
  <c r="BK10" i="45"/>
  <c r="BL10" i="45"/>
  <c r="BN10" i="45"/>
  <c r="BP10" i="45"/>
  <c r="BQ10" i="45"/>
  <c r="BS10" i="45"/>
  <c r="AZ11" i="45"/>
  <c r="BA11" i="45"/>
  <c r="BB11" i="45"/>
  <c r="BC11" i="45"/>
  <c r="BD11" i="45"/>
  <c r="BE11" i="45"/>
  <c r="BF11" i="45"/>
  <c r="BH11" i="45"/>
  <c r="BI11" i="45"/>
  <c r="BJ11" i="45"/>
  <c r="BK11" i="45"/>
  <c r="BL11" i="45"/>
  <c r="BN11" i="45"/>
  <c r="BP11" i="45"/>
  <c r="BQ11" i="45"/>
  <c r="BS11" i="45"/>
  <c r="AZ12" i="45"/>
  <c r="BA12" i="45"/>
  <c r="BB12" i="45"/>
  <c r="BC12" i="45"/>
  <c r="BD12" i="45"/>
  <c r="BE12" i="45"/>
  <c r="BF12" i="45"/>
  <c r="BH12" i="45"/>
  <c r="BI12" i="45"/>
  <c r="BJ12" i="45"/>
  <c r="BK12" i="45"/>
  <c r="BL12" i="45"/>
  <c r="BN12" i="45"/>
  <c r="BP12" i="45"/>
  <c r="BQ12" i="45"/>
  <c r="BS12" i="45"/>
  <c r="AZ13" i="45"/>
  <c r="BA13" i="45"/>
  <c r="BB13" i="45"/>
  <c r="BC13" i="45"/>
  <c r="BD13" i="45"/>
  <c r="BE13" i="45"/>
  <c r="BF13" i="45"/>
  <c r="BH13" i="45"/>
  <c r="BI13" i="45"/>
  <c r="BJ13" i="45"/>
  <c r="BK13" i="45"/>
  <c r="BL13" i="45"/>
  <c r="BN13" i="45"/>
  <c r="BP13" i="45"/>
  <c r="BQ13" i="45"/>
  <c r="BS13" i="45"/>
  <c r="AZ14" i="45"/>
  <c r="BA14" i="45"/>
  <c r="BB14" i="45"/>
  <c r="BC14" i="45"/>
  <c r="BD14" i="45"/>
  <c r="BE14" i="45"/>
  <c r="BF14" i="45"/>
  <c r="BH14" i="45"/>
  <c r="BI14" i="45"/>
  <c r="BJ14" i="45"/>
  <c r="BK14" i="45"/>
  <c r="BL14" i="45"/>
  <c r="BN14" i="45"/>
  <c r="BP14" i="45"/>
  <c r="BQ14" i="45"/>
  <c r="BS14" i="45"/>
  <c r="AZ15" i="45"/>
  <c r="BA15" i="45"/>
  <c r="BB15" i="45"/>
  <c r="BC15" i="45"/>
  <c r="BD15" i="45"/>
  <c r="BE15" i="45"/>
  <c r="BF15" i="45"/>
  <c r="BH15" i="45"/>
  <c r="BI15" i="45"/>
  <c r="BJ15" i="45"/>
  <c r="BK15" i="45"/>
  <c r="BL15" i="45"/>
  <c r="BN15" i="45"/>
  <c r="BP15" i="45"/>
  <c r="BQ15" i="45"/>
  <c r="BS15" i="45"/>
  <c r="AZ16" i="45"/>
  <c r="BA16" i="45"/>
  <c r="BB16" i="45"/>
  <c r="BC16" i="45"/>
  <c r="BD16" i="45"/>
  <c r="BE16" i="45"/>
  <c r="BF16" i="45"/>
  <c r="BH16" i="45"/>
  <c r="BI16" i="45"/>
  <c r="BJ16" i="45"/>
  <c r="BK16" i="45"/>
  <c r="BL16" i="45"/>
  <c r="BN16" i="45"/>
  <c r="BP16" i="45"/>
  <c r="BQ16" i="45"/>
  <c r="BS16" i="45"/>
  <c r="BS5" i="45"/>
  <c r="BQ5" i="45"/>
  <c r="BP5" i="45"/>
  <c r="BN5" i="45"/>
  <c r="BL5" i="45"/>
  <c r="BK5" i="45"/>
  <c r="BJ5" i="45"/>
  <c r="BI5" i="45"/>
  <c r="BH5" i="45"/>
  <c r="BF5" i="45"/>
  <c r="BE5" i="45"/>
  <c r="BD5" i="45"/>
  <c r="BC5" i="45"/>
  <c r="BB5" i="45"/>
  <c r="BA5" i="45"/>
  <c r="AZ5" i="45"/>
  <c r="AM6" i="45"/>
  <c r="AO6" i="45"/>
  <c r="AP6" i="45"/>
  <c r="AR6" i="45"/>
  <c r="AT6" i="45"/>
  <c r="AU6" i="45"/>
  <c r="AV6" i="45"/>
  <c r="AW6" i="45"/>
  <c r="AY6" i="45"/>
  <c r="AM7" i="45"/>
  <c r="AO7" i="45"/>
  <c r="AP7" i="45"/>
  <c r="AR7" i="45"/>
  <c r="AT7" i="45"/>
  <c r="AU7" i="45"/>
  <c r="AV7" i="45"/>
  <c r="AW7" i="45"/>
  <c r="AY7" i="45"/>
  <c r="AM8" i="45"/>
  <c r="AO8" i="45"/>
  <c r="AP8" i="45"/>
  <c r="AR8" i="45"/>
  <c r="AT8" i="45"/>
  <c r="AU8" i="45"/>
  <c r="AV8" i="45"/>
  <c r="AW8" i="45"/>
  <c r="AY8" i="45"/>
  <c r="AM9" i="45"/>
  <c r="AO9" i="45"/>
  <c r="AP9" i="45"/>
  <c r="AR9" i="45"/>
  <c r="AT9" i="45"/>
  <c r="AU9" i="45"/>
  <c r="AV9" i="45"/>
  <c r="AW9" i="45"/>
  <c r="AY9" i="45"/>
  <c r="AM10" i="45"/>
  <c r="AO10" i="45"/>
  <c r="AP10" i="45"/>
  <c r="AR10" i="45"/>
  <c r="AT10" i="45"/>
  <c r="AU10" i="45"/>
  <c r="AV10" i="45"/>
  <c r="AW10" i="45"/>
  <c r="AY10" i="45"/>
  <c r="AM11" i="45"/>
  <c r="AO11" i="45"/>
  <c r="AP11" i="45"/>
  <c r="AR11" i="45"/>
  <c r="AT11" i="45"/>
  <c r="AU11" i="45"/>
  <c r="AV11" i="45"/>
  <c r="AW11" i="45"/>
  <c r="AY11" i="45"/>
  <c r="AM12" i="45"/>
  <c r="AO12" i="45"/>
  <c r="AP12" i="45"/>
  <c r="AR12" i="45"/>
  <c r="AT12" i="45"/>
  <c r="AU12" i="45"/>
  <c r="AV12" i="45"/>
  <c r="AW12" i="45"/>
  <c r="AY12" i="45"/>
  <c r="AM13" i="45"/>
  <c r="AO13" i="45"/>
  <c r="AP13" i="45"/>
  <c r="AR13" i="45"/>
  <c r="AT13" i="45"/>
  <c r="AU13" i="45"/>
  <c r="AV13" i="45"/>
  <c r="AW13" i="45"/>
  <c r="AY13" i="45"/>
  <c r="AM14" i="45"/>
  <c r="AO14" i="45"/>
  <c r="AP14" i="45"/>
  <c r="AR14" i="45"/>
  <c r="AT14" i="45"/>
  <c r="AU14" i="45"/>
  <c r="AV14" i="45"/>
  <c r="AW14" i="45"/>
  <c r="AY14" i="45"/>
  <c r="AM15" i="45"/>
  <c r="AO15" i="45"/>
  <c r="AP15" i="45"/>
  <c r="AR15" i="45"/>
  <c r="AT15" i="45"/>
  <c r="AU15" i="45"/>
  <c r="AV15" i="45"/>
  <c r="AW15" i="45"/>
  <c r="AY15" i="45"/>
  <c r="AM16" i="45"/>
  <c r="AO16" i="45"/>
  <c r="AP16" i="45"/>
  <c r="AR16" i="45"/>
  <c r="AT16" i="45"/>
  <c r="AU16" i="45"/>
  <c r="AV16" i="45"/>
  <c r="AW16" i="45"/>
  <c r="AY16" i="45"/>
  <c r="AY5" i="45"/>
  <c r="AW5" i="45"/>
  <c r="AV5" i="45"/>
  <c r="AU5" i="45"/>
  <c r="AT5" i="45"/>
  <c r="AR5" i="45"/>
  <c r="AP5" i="45"/>
  <c r="AO5" i="45"/>
  <c r="AM5" i="45"/>
  <c r="AA25" i="45"/>
  <c r="AC25" i="45"/>
  <c r="AD25" i="45"/>
  <c r="AE25" i="45"/>
  <c r="AF25" i="45"/>
  <c r="AJ25" i="45"/>
  <c r="AA26" i="45"/>
  <c r="AC26" i="45"/>
  <c r="AD26" i="45"/>
  <c r="AE26" i="45"/>
  <c r="AF26" i="45"/>
  <c r="AJ26" i="45"/>
  <c r="AA27" i="45"/>
  <c r="AC27" i="45"/>
  <c r="AD27" i="45"/>
  <c r="AE27" i="45"/>
  <c r="AF27" i="45"/>
  <c r="AJ27" i="45"/>
  <c r="AA28" i="45"/>
  <c r="AC28" i="45"/>
  <c r="AD28" i="45"/>
  <c r="AE28" i="45"/>
  <c r="AF28" i="45"/>
  <c r="AJ28" i="45"/>
  <c r="AA29" i="45"/>
  <c r="AC29" i="45"/>
  <c r="AD29" i="45"/>
  <c r="AE29" i="45"/>
  <c r="AF29" i="45"/>
  <c r="AJ29" i="45"/>
  <c r="AA30" i="45"/>
  <c r="AC30" i="45"/>
  <c r="AD30" i="45"/>
  <c r="AE30" i="45"/>
  <c r="AF30" i="45"/>
  <c r="AJ30" i="45"/>
  <c r="AA31" i="45"/>
  <c r="AC31" i="45"/>
  <c r="AD31" i="45"/>
  <c r="AE31" i="45"/>
  <c r="AF31" i="45"/>
  <c r="AJ31" i="45"/>
  <c r="AA32" i="45"/>
  <c r="AC32" i="45"/>
  <c r="AD32" i="45"/>
  <c r="AE32" i="45"/>
  <c r="AF32" i="45"/>
  <c r="AJ32" i="45"/>
  <c r="AA33" i="45"/>
  <c r="AC33" i="45"/>
  <c r="AD33" i="45"/>
  <c r="AE33" i="45"/>
  <c r="AF33" i="45"/>
  <c r="AJ33" i="45"/>
  <c r="AA34" i="45"/>
  <c r="AC34" i="45"/>
  <c r="AD34" i="45"/>
  <c r="AE34" i="45"/>
  <c r="AF34" i="45"/>
  <c r="AJ34" i="45"/>
  <c r="AA35" i="45"/>
  <c r="AC35" i="45"/>
  <c r="AD35" i="45"/>
  <c r="AE35" i="45"/>
  <c r="AF35" i="45"/>
  <c r="AJ35" i="45"/>
  <c r="AJ24" i="45"/>
  <c r="AF24" i="45"/>
  <c r="AE24" i="45"/>
  <c r="AD24" i="45"/>
  <c r="AC24" i="45"/>
  <c r="AA24" i="45"/>
  <c r="AA6" i="45"/>
  <c r="AC6" i="45"/>
  <c r="AD6" i="45"/>
  <c r="AE6" i="45"/>
  <c r="AF6" i="45"/>
  <c r="AJ6" i="45"/>
  <c r="AA7" i="45"/>
  <c r="AC7" i="45"/>
  <c r="AD7" i="45"/>
  <c r="AE7" i="45"/>
  <c r="AF7" i="45"/>
  <c r="AJ7" i="45"/>
  <c r="AA8" i="45"/>
  <c r="AC8" i="45"/>
  <c r="AD8" i="45"/>
  <c r="AE8" i="45"/>
  <c r="AF8" i="45"/>
  <c r="AJ8" i="45"/>
  <c r="AA9" i="45"/>
  <c r="AC9" i="45"/>
  <c r="AD9" i="45"/>
  <c r="AE9" i="45"/>
  <c r="AF9" i="45"/>
  <c r="AJ9" i="45"/>
  <c r="AA10" i="45"/>
  <c r="AC10" i="45"/>
  <c r="AD10" i="45"/>
  <c r="AE10" i="45"/>
  <c r="AF10" i="45"/>
  <c r="AJ10" i="45"/>
  <c r="AA11" i="45"/>
  <c r="AC11" i="45"/>
  <c r="AD11" i="45"/>
  <c r="AE11" i="45"/>
  <c r="AF11" i="45"/>
  <c r="AJ11" i="45"/>
  <c r="AA12" i="45"/>
  <c r="AC12" i="45"/>
  <c r="AD12" i="45"/>
  <c r="AE12" i="45"/>
  <c r="AF12" i="45"/>
  <c r="AJ12" i="45"/>
  <c r="AA13" i="45"/>
  <c r="AC13" i="45"/>
  <c r="AD13" i="45"/>
  <c r="AE13" i="45"/>
  <c r="AF13" i="45"/>
  <c r="AJ13" i="45"/>
  <c r="AA14" i="45"/>
  <c r="AC14" i="45"/>
  <c r="AD14" i="45"/>
  <c r="AE14" i="45"/>
  <c r="AF14" i="45"/>
  <c r="AJ14" i="45"/>
  <c r="AA15" i="45"/>
  <c r="AC15" i="45"/>
  <c r="AD15" i="45"/>
  <c r="AE15" i="45"/>
  <c r="AF15" i="45"/>
  <c r="AJ15" i="45"/>
  <c r="AA16" i="45"/>
  <c r="AC16" i="45"/>
  <c r="AD16" i="45"/>
  <c r="AE16" i="45"/>
  <c r="AF16" i="45"/>
  <c r="AJ16" i="45"/>
  <c r="AJ5" i="45"/>
  <c r="AF5" i="45"/>
  <c r="AE5" i="45"/>
  <c r="AD5" i="45"/>
  <c r="AC5" i="45"/>
  <c r="AA5" i="45"/>
  <c r="L25" i="45"/>
  <c r="M25" i="45"/>
  <c r="N25" i="45"/>
  <c r="P25" i="45"/>
  <c r="Q25" i="45"/>
  <c r="R25" i="45"/>
  <c r="S25" i="45"/>
  <c r="U25" i="45"/>
  <c r="V25" i="45"/>
  <c r="W25" i="45"/>
  <c r="X25" i="45"/>
  <c r="Y25" i="45"/>
  <c r="L26" i="45"/>
  <c r="M26" i="45"/>
  <c r="N26" i="45"/>
  <c r="P26" i="45"/>
  <c r="Q26" i="45"/>
  <c r="R26" i="45"/>
  <c r="S26" i="45"/>
  <c r="U26" i="45"/>
  <c r="V26" i="45"/>
  <c r="W26" i="45"/>
  <c r="X26" i="45"/>
  <c r="Y26" i="45"/>
  <c r="L27" i="45"/>
  <c r="M27" i="45"/>
  <c r="N27" i="45"/>
  <c r="P27" i="45"/>
  <c r="Q27" i="45"/>
  <c r="R27" i="45"/>
  <c r="S27" i="45"/>
  <c r="U27" i="45"/>
  <c r="V27" i="45"/>
  <c r="W27" i="45"/>
  <c r="X27" i="45"/>
  <c r="Y27" i="45"/>
  <c r="L28" i="45"/>
  <c r="M28" i="45"/>
  <c r="N28" i="45"/>
  <c r="P28" i="45"/>
  <c r="Q28" i="45"/>
  <c r="R28" i="45"/>
  <c r="S28" i="45"/>
  <c r="U28" i="45"/>
  <c r="V28" i="45"/>
  <c r="W28" i="45"/>
  <c r="X28" i="45"/>
  <c r="Y28" i="45"/>
  <c r="L29" i="45"/>
  <c r="M29" i="45"/>
  <c r="N29" i="45"/>
  <c r="P29" i="45"/>
  <c r="Q29" i="45"/>
  <c r="R29" i="45"/>
  <c r="S29" i="45"/>
  <c r="U29" i="45"/>
  <c r="V29" i="45"/>
  <c r="W29" i="45"/>
  <c r="X29" i="45"/>
  <c r="Y29" i="45"/>
  <c r="L30" i="45"/>
  <c r="M30" i="45"/>
  <c r="N30" i="45"/>
  <c r="P30" i="45"/>
  <c r="Q30" i="45"/>
  <c r="R30" i="45"/>
  <c r="S30" i="45"/>
  <c r="U30" i="45"/>
  <c r="V30" i="45"/>
  <c r="W30" i="45"/>
  <c r="X30" i="45"/>
  <c r="Y30" i="45"/>
  <c r="L31" i="45"/>
  <c r="M31" i="45"/>
  <c r="N31" i="45"/>
  <c r="P31" i="45"/>
  <c r="Q31" i="45"/>
  <c r="R31" i="45"/>
  <c r="S31" i="45"/>
  <c r="U31" i="45"/>
  <c r="V31" i="45"/>
  <c r="W31" i="45"/>
  <c r="X31" i="45"/>
  <c r="Y31" i="45"/>
  <c r="L32" i="45"/>
  <c r="M32" i="45"/>
  <c r="N32" i="45"/>
  <c r="P32" i="45"/>
  <c r="Q32" i="45"/>
  <c r="R32" i="45"/>
  <c r="S32" i="45"/>
  <c r="U32" i="45"/>
  <c r="V32" i="45"/>
  <c r="W32" i="45"/>
  <c r="X32" i="45"/>
  <c r="Y32" i="45"/>
  <c r="L33" i="45"/>
  <c r="M33" i="45"/>
  <c r="N33" i="45"/>
  <c r="P33" i="45"/>
  <c r="Q33" i="45"/>
  <c r="R33" i="45"/>
  <c r="S33" i="45"/>
  <c r="U33" i="45"/>
  <c r="V33" i="45"/>
  <c r="W33" i="45"/>
  <c r="X33" i="45"/>
  <c r="Y33" i="45"/>
  <c r="L34" i="45"/>
  <c r="M34" i="45"/>
  <c r="N34" i="45"/>
  <c r="P34" i="45"/>
  <c r="Q34" i="45"/>
  <c r="R34" i="45"/>
  <c r="S34" i="45"/>
  <c r="U34" i="45"/>
  <c r="V34" i="45"/>
  <c r="W34" i="45"/>
  <c r="X34" i="45"/>
  <c r="Y34" i="45"/>
  <c r="L35" i="45"/>
  <c r="M35" i="45"/>
  <c r="N35" i="45"/>
  <c r="P35" i="45"/>
  <c r="Q35" i="45"/>
  <c r="R35" i="45"/>
  <c r="S35" i="45"/>
  <c r="U35" i="45"/>
  <c r="V35" i="45"/>
  <c r="W35" i="45"/>
  <c r="X35" i="45"/>
  <c r="Y35" i="45"/>
  <c r="Y24" i="45"/>
  <c r="X24" i="45"/>
  <c r="W24" i="45"/>
  <c r="V24" i="45"/>
  <c r="U24" i="45"/>
  <c r="S24" i="45"/>
  <c r="R24" i="45"/>
  <c r="Q24" i="45"/>
  <c r="P24" i="45"/>
  <c r="O24" i="45"/>
  <c r="N24" i="45"/>
  <c r="M24" i="45"/>
  <c r="L24" i="45"/>
  <c r="L6" i="45"/>
  <c r="M6" i="45"/>
  <c r="N6" i="45"/>
  <c r="O6" i="45"/>
  <c r="P6" i="45"/>
  <c r="Q6" i="45"/>
  <c r="R6" i="45"/>
  <c r="S6" i="45"/>
  <c r="U6" i="45"/>
  <c r="V6" i="45"/>
  <c r="W6" i="45"/>
  <c r="X6" i="45"/>
  <c r="Y6" i="45"/>
  <c r="L7" i="45"/>
  <c r="M7" i="45"/>
  <c r="N7" i="45"/>
  <c r="O7" i="45"/>
  <c r="P7" i="45"/>
  <c r="Q7" i="45"/>
  <c r="R7" i="45"/>
  <c r="S7" i="45"/>
  <c r="U7" i="45"/>
  <c r="V7" i="45"/>
  <c r="W7" i="45"/>
  <c r="X7" i="45"/>
  <c r="Y7" i="45"/>
  <c r="L8" i="45"/>
  <c r="M8" i="45"/>
  <c r="N8" i="45"/>
  <c r="O8" i="45"/>
  <c r="P8" i="45"/>
  <c r="Q8" i="45"/>
  <c r="R8" i="45"/>
  <c r="S8" i="45"/>
  <c r="U8" i="45"/>
  <c r="V8" i="45"/>
  <c r="W8" i="45"/>
  <c r="X8" i="45"/>
  <c r="Y8" i="45"/>
  <c r="L9" i="45"/>
  <c r="M9" i="45"/>
  <c r="N9" i="45"/>
  <c r="O9" i="45"/>
  <c r="P9" i="45"/>
  <c r="Q9" i="45"/>
  <c r="R9" i="45"/>
  <c r="S9" i="45"/>
  <c r="U9" i="45"/>
  <c r="V9" i="45"/>
  <c r="W9" i="45"/>
  <c r="X9" i="45"/>
  <c r="Y9" i="45"/>
  <c r="L10" i="45"/>
  <c r="M10" i="45"/>
  <c r="N10" i="45"/>
  <c r="O10" i="45"/>
  <c r="P10" i="45"/>
  <c r="Q10" i="45"/>
  <c r="R10" i="45"/>
  <c r="S10" i="45"/>
  <c r="U10" i="45"/>
  <c r="V10" i="45"/>
  <c r="W10" i="45"/>
  <c r="X10" i="45"/>
  <c r="Y10" i="45"/>
  <c r="L11" i="45"/>
  <c r="M11" i="45"/>
  <c r="N11" i="45"/>
  <c r="O11" i="45"/>
  <c r="P11" i="45"/>
  <c r="Q11" i="45"/>
  <c r="R11" i="45"/>
  <c r="S11" i="45"/>
  <c r="U11" i="45"/>
  <c r="V11" i="45"/>
  <c r="W11" i="45"/>
  <c r="X11" i="45"/>
  <c r="Y11" i="45"/>
  <c r="L12" i="45"/>
  <c r="M12" i="45"/>
  <c r="N12" i="45"/>
  <c r="O12" i="45"/>
  <c r="P12" i="45"/>
  <c r="Q12" i="45"/>
  <c r="R12" i="45"/>
  <c r="S12" i="45"/>
  <c r="U12" i="45"/>
  <c r="V12" i="45"/>
  <c r="W12" i="45"/>
  <c r="X12" i="45"/>
  <c r="Y12" i="45"/>
  <c r="L13" i="45"/>
  <c r="M13" i="45"/>
  <c r="N13" i="45"/>
  <c r="O13" i="45"/>
  <c r="P13" i="45"/>
  <c r="Q13" i="45"/>
  <c r="R13" i="45"/>
  <c r="S13" i="45"/>
  <c r="U13" i="45"/>
  <c r="V13" i="45"/>
  <c r="W13" i="45"/>
  <c r="X13" i="45"/>
  <c r="Y13" i="45"/>
  <c r="L14" i="45"/>
  <c r="M14" i="45"/>
  <c r="N14" i="45"/>
  <c r="O14" i="45"/>
  <c r="P14" i="45"/>
  <c r="Q14" i="45"/>
  <c r="R14" i="45"/>
  <c r="S14" i="45"/>
  <c r="U14" i="45"/>
  <c r="V14" i="45"/>
  <c r="W14" i="45"/>
  <c r="X14" i="45"/>
  <c r="Y14" i="45"/>
  <c r="L15" i="45"/>
  <c r="M15" i="45"/>
  <c r="N15" i="45"/>
  <c r="O15" i="45"/>
  <c r="P15" i="45"/>
  <c r="Q15" i="45"/>
  <c r="R15" i="45"/>
  <c r="S15" i="45"/>
  <c r="U15" i="45"/>
  <c r="V15" i="45"/>
  <c r="W15" i="45"/>
  <c r="X15" i="45"/>
  <c r="Y15" i="45"/>
  <c r="L16" i="45"/>
  <c r="M16" i="45"/>
  <c r="N16" i="45"/>
  <c r="O16" i="45"/>
  <c r="P16" i="45"/>
  <c r="Q16" i="45"/>
  <c r="R16" i="45"/>
  <c r="S16" i="45"/>
  <c r="U16" i="45"/>
  <c r="V16" i="45"/>
  <c r="W16" i="45"/>
  <c r="X16" i="45"/>
  <c r="Y16" i="45"/>
  <c r="Y5" i="45"/>
  <c r="X5" i="45"/>
  <c r="W5" i="45"/>
  <c r="V5" i="45"/>
  <c r="U5" i="45"/>
  <c r="S5" i="45"/>
  <c r="R5" i="45"/>
  <c r="Q5" i="45"/>
  <c r="P5" i="45"/>
  <c r="O5" i="45"/>
  <c r="N5" i="45"/>
  <c r="M5" i="45"/>
  <c r="L5" i="45"/>
  <c r="I16" i="45"/>
  <c r="J16" i="45"/>
  <c r="I6" i="45"/>
  <c r="J6" i="45"/>
  <c r="I7" i="45"/>
  <c r="J7" i="45"/>
  <c r="I8" i="45"/>
  <c r="J8" i="45"/>
  <c r="I9" i="45"/>
  <c r="J9" i="45"/>
  <c r="I10" i="45"/>
  <c r="J10" i="45"/>
  <c r="I11" i="45"/>
  <c r="J11" i="45"/>
  <c r="I12" i="45"/>
  <c r="J12" i="45"/>
  <c r="I13" i="45"/>
  <c r="J13" i="45"/>
  <c r="I14" i="45"/>
  <c r="J14" i="45"/>
  <c r="I15" i="45"/>
  <c r="J15" i="45"/>
  <c r="J5" i="45"/>
  <c r="I5" i="45"/>
  <c r="I25" i="45"/>
  <c r="J25" i="45"/>
  <c r="I26" i="45"/>
  <c r="J26" i="45"/>
  <c r="I27" i="45"/>
  <c r="J27" i="45"/>
  <c r="I28" i="45"/>
  <c r="J28" i="45"/>
  <c r="I29" i="45"/>
  <c r="J29" i="45"/>
  <c r="I30" i="45"/>
  <c r="J30" i="45"/>
  <c r="I31" i="45"/>
  <c r="J31" i="45"/>
  <c r="I32" i="45"/>
  <c r="J32" i="45"/>
  <c r="I33" i="45"/>
  <c r="J33" i="45"/>
  <c r="I34" i="45"/>
  <c r="J34" i="45"/>
  <c r="I35" i="45"/>
  <c r="J35" i="45"/>
  <c r="J24" i="45"/>
  <c r="I24" i="45"/>
  <c r="D25" i="45"/>
  <c r="E25" i="45"/>
  <c r="F25" i="45"/>
  <c r="G25" i="45"/>
  <c r="D26" i="45"/>
  <c r="E26" i="45"/>
  <c r="F26" i="45"/>
  <c r="G26" i="45"/>
  <c r="D27" i="45"/>
  <c r="E27" i="45"/>
  <c r="F27" i="45"/>
  <c r="G27" i="45"/>
  <c r="D28" i="45"/>
  <c r="E28" i="45"/>
  <c r="F28" i="45"/>
  <c r="G28" i="45"/>
  <c r="D29" i="45"/>
  <c r="E29" i="45"/>
  <c r="F29" i="45"/>
  <c r="G29" i="45"/>
  <c r="D30" i="45"/>
  <c r="E30" i="45"/>
  <c r="F30" i="45"/>
  <c r="G30" i="45"/>
  <c r="D31" i="45"/>
  <c r="E31" i="45"/>
  <c r="F31" i="45"/>
  <c r="G31" i="45"/>
  <c r="D32" i="45"/>
  <c r="E32" i="45"/>
  <c r="F32" i="45"/>
  <c r="G32" i="45"/>
  <c r="D33" i="45"/>
  <c r="E33" i="45"/>
  <c r="F33" i="45"/>
  <c r="G33" i="45"/>
  <c r="D34" i="45"/>
  <c r="E34" i="45"/>
  <c r="F34" i="45"/>
  <c r="G34" i="45"/>
  <c r="D35" i="45"/>
  <c r="E35" i="45"/>
  <c r="F35" i="45"/>
  <c r="G35" i="45"/>
  <c r="G24" i="45"/>
  <c r="F24" i="45"/>
  <c r="E24" i="45"/>
  <c r="D24" i="45"/>
  <c r="D6" i="45"/>
  <c r="E6" i="45"/>
  <c r="F6" i="45"/>
  <c r="G6" i="45"/>
  <c r="D7" i="45"/>
  <c r="E7" i="45"/>
  <c r="F7" i="45"/>
  <c r="G7" i="45"/>
  <c r="D8" i="45"/>
  <c r="E8" i="45"/>
  <c r="F8" i="45"/>
  <c r="G8" i="45"/>
  <c r="D9" i="45"/>
  <c r="E9" i="45"/>
  <c r="F9" i="45"/>
  <c r="G9" i="45"/>
  <c r="D10" i="45"/>
  <c r="E10" i="45"/>
  <c r="F10" i="45"/>
  <c r="G10" i="45"/>
  <c r="D11" i="45"/>
  <c r="E11" i="45"/>
  <c r="F11" i="45"/>
  <c r="G11" i="45"/>
  <c r="D12" i="45"/>
  <c r="E12" i="45"/>
  <c r="F12" i="45"/>
  <c r="G12" i="45"/>
  <c r="D13" i="45"/>
  <c r="E13" i="45"/>
  <c r="F13" i="45"/>
  <c r="G13" i="45"/>
  <c r="D14" i="45"/>
  <c r="E14" i="45"/>
  <c r="F14" i="45"/>
  <c r="G14" i="45"/>
  <c r="D15" i="45"/>
  <c r="E15" i="45"/>
  <c r="F15" i="45"/>
  <c r="G15" i="45"/>
  <c r="D16" i="45"/>
  <c r="E16" i="45"/>
  <c r="F16" i="45"/>
  <c r="G16" i="45"/>
  <c r="G5" i="45"/>
  <c r="F5" i="45"/>
  <c r="E5" i="45"/>
  <c r="D5" i="45"/>
  <c r="C25" i="45"/>
  <c r="C26" i="45"/>
  <c r="C27" i="45"/>
  <c r="C28" i="45"/>
  <c r="C29" i="45"/>
  <c r="C30" i="45"/>
  <c r="C31" i="45"/>
  <c r="C32" i="45"/>
  <c r="C33" i="45"/>
  <c r="C34" i="45"/>
  <c r="C35" i="45"/>
  <c r="C24" i="45"/>
  <c r="C6" i="45"/>
  <c r="C7" i="45"/>
  <c r="C8" i="45"/>
  <c r="C9" i="45"/>
  <c r="C10" i="45"/>
  <c r="C11" i="45"/>
  <c r="C12" i="45"/>
  <c r="C13" i="45"/>
  <c r="C14" i="45"/>
  <c r="C15" i="45"/>
  <c r="C16" i="45"/>
  <c r="C5" i="45"/>
  <c r="U54" i="128"/>
  <c r="U36" i="128"/>
  <c r="U17" i="128"/>
  <c r="U54" i="127"/>
  <c r="U36" i="127"/>
  <c r="U17" i="127"/>
  <c r="U54" i="126"/>
  <c r="U36" i="126"/>
  <c r="U17" i="126"/>
  <c r="U54" i="125"/>
  <c r="U36" i="125"/>
  <c r="U17" i="125"/>
  <c r="U54" i="124"/>
  <c r="U36" i="124"/>
  <c r="U17" i="124"/>
  <c r="U17" i="123"/>
  <c r="AI39" i="45" s="1"/>
  <c r="U54" i="122"/>
  <c r="U36" i="122"/>
  <c r="U17" i="122"/>
  <c r="U54" i="117"/>
  <c r="U36" i="117"/>
  <c r="U17" i="117"/>
  <c r="U54" i="121"/>
  <c r="U36" i="121"/>
  <c r="U17" i="121"/>
  <c r="U72" i="115"/>
  <c r="BD43" i="45" s="1"/>
  <c r="U54" i="115"/>
  <c r="U36" i="115"/>
  <c r="U17" i="115"/>
  <c r="U54" i="116"/>
  <c r="U36" i="116"/>
  <c r="U17" i="116"/>
  <c r="U54" i="114"/>
  <c r="U36" i="114"/>
  <c r="U17" i="114"/>
  <c r="U54" i="120"/>
  <c r="U36" i="120"/>
  <c r="U17" i="120"/>
  <c r="U54" i="119"/>
  <c r="U36" i="119"/>
  <c r="U17" i="119"/>
  <c r="U54" i="118"/>
  <c r="U36" i="118"/>
  <c r="U17" i="118"/>
  <c r="U72" i="113"/>
  <c r="BC43" i="45" s="1"/>
  <c r="U54" i="113"/>
  <c r="U36" i="113"/>
  <c r="U17" i="113"/>
  <c r="U54" i="112"/>
  <c r="U36" i="112"/>
  <c r="U17" i="112"/>
  <c r="U54" i="111"/>
  <c r="U36" i="111"/>
  <c r="U17" i="111"/>
  <c r="U54" i="110"/>
  <c r="U36" i="110"/>
  <c r="U17" i="110"/>
  <c r="U54" i="109"/>
  <c r="U36" i="109"/>
  <c r="U17" i="109"/>
  <c r="U54" i="108"/>
  <c r="U36" i="108"/>
  <c r="U17" i="108"/>
  <c r="U54" i="107"/>
  <c r="U36" i="107"/>
  <c r="U17" i="107"/>
  <c r="U54" i="106"/>
  <c r="U36" i="106"/>
  <c r="U17" i="106"/>
  <c r="U54" i="105"/>
  <c r="U36" i="105"/>
  <c r="U17" i="105"/>
  <c r="U54" i="103"/>
  <c r="U36" i="103"/>
  <c r="U17" i="103"/>
  <c r="U54" i="104"/>
  <c r="U36" i="104"/>
  <c r="U17" i="104"/>
  <c r="U54" i="101"/>
  <c r="U36" i="101"/>
  <c r="U17" i="101"/>
  <c r="U72" i="100"/>
  <c r="AS39" i="89" s="1"/>
  <c r="U54" i="100"/>
  <c r="U36" i="100"/>
  <c r="U17" i="100"/>
  <c r="U54" i="102"/>
  <c r="U36" i="102"/>
  <c r="U17" i="102"/>
  <c r="U72" i="99"/>
  <c r="AQ39" i="89" s="1"/>
  <c r="U54" i="99"/>
  <c r="U36" i="99"/>
  <c r="U17" i="99"/>
  <c r="U17" i="98"/>
  <c r="U36" i="98"/>
  <c r="U54" i="98"/>
  <c r="U17" i="95"/>
  <c r="U36" i="95"/>
  <c r="U54" i="95"/>
  <c r="U17" i="94"/>
  <c r="U36" i="94"/>
  <c r="U54" i="94"/>
  <c r="U17" i="93"/>
  <c r="U36" i="93"/>
  <c r="U54" i="93"/>
  <c r="U17" i="92"/>
  <c r="U36" i="92"/>
  <c r="U54" i="92"/>
  <c r="U17" i="91"/>
  <c r="U36" i="91"/>
  <c r="U54" i="91"/>
  <c r="U17" i="97"/>
  <c r="U36" i="97"/>
  <c r="U54" i="97"/>
  <c r="U17" i="96"/>
  <c r="U36" i="96"/>
  <c r="U54" i="96"/>
  <c r="U17" i="84"/>
  <c r="U36" i="84"/>
  <c r="U54" i="84"/>
  <c r="U17" i="87"/>
  <c r="U36" i="87"/>
  <c r="U54" i="87"/>
  <c r="U17" i="83"/>
  <c r="U36" i="83"/>
  <c r="U54" i="83"/>
  <c r="U17" i="86"/>
  <c r="U36" i="86"/>
  <c r="U54" i="86"/>
  <c r="U17" i="82"/>
  <c r="U36" i="82"/>
  <c r="U54" i="82"/>
  <c r="U17" i="85"/>
  <c r="U36" i="85"/>
  <c r="U54" i="85"/>
  <c r="U17" i="81"/>
  <c r="U36" i="81"/>
  <c r="U54" i="81"/>
  <c r="U72" i="81"/>
  <c r="AJ39" i="89" s="1"/>
  <c r="U17" i="76"/>
  <c r="U36" i="76"/>
  <c r="U54" i="76"/>
  <c r="U72" i="76"/>
  <c r="AH39" i="89" s="1"/>
  <c r="U17" i="80"/>
  <c r="U36" i="80"/>
  <c r="U54" i="80"/>
  <c r="U72" i="80"/>
  <c r="AG39" i="89" s="1"/>
  <c r="U17" i="78"/>
  <c r="U36" i="78"/>
  <c r="U54" i="78"/>
  <c r="U72" i="78"/>
  <c r="AF39" i="89" s="1"/>
  <c r="U17" i="79"/>
  <c r="U36" i="79"/>
  <c r="U54" i="79"/>
  <c r="U72" i="79"/>
  <c r="AE39" i="89" s="1"/>
  <c r="U17" i="75"/>
  <c r="U36" i="75"/>
  <c r="U54" i="75"/>
  <c r="U72" i="75"/>
  <c r="AH39" i="45" s="1"/>
  <c r="U17" i="72"/>
  <c r="U36" i="72"/>
  <c r="U54" i="72"/>
  <c r="U17" i="73"/>
  <c r="U36" i="73"/>
  <c r="U54" i="73"/>
  <c r="U17" i="74"/>
  <c r="U36" i="74"/>
  <c r="U54" i="74"/>
  <c r="U17" i="65"/>
  <c r="U36" i="65"/>
  <c r="U54" i="65"/>
  <c r="U17" i="68"/>
  <c r="U36" i="68"/>
  <c r="U54" i="68"/>
  <c r="U17" i="70"/>
  <c r="U36" i="70"/>
  <c r="U54" i="70"/>
  <c r="U17" i="69"/>
  <c r="U36" i="69"/>
  <c r="U54" i="69"/>
  <c r="U17" i="66"/>
  <c r="U36" i="66"/>
  <c r="U54" i="66"/>
  <c r="U17" i="67"/>
  <c r="U36" i="67"/>
  <c r="U54" i="67"/>
  <c r="U17" i="64"/>
  <c r="U36" i="64"/>
  <c r="U54" i="64"/>
  <c r="U72" i="64"/>
  <c r="S39" i="89" s="1"/>
  <c r="U17" i="63"/>
  <c r="U36" i="63"/>
  <c r="U54" i="63"/>
  <c r="U17" i="61"/>
  <c r="U36" i="61"/>
  <c r="U54" i="61"/>
  <c r="U72" i="61"/>
  <c r="Q39" i="89" s="1"/>
  <c r="U17" i="62"/>
  <c r="U36" i="62"/>
  <c r="U54" i="62"/>
  <c r="U17" i="60"/>
  <c r="U36" i="60"/>
  <c r="U54" i="60"/>
  <c r="U17" i="56"/>
  <c r="U36" i="56"/>
  <c r="U54" i="56"/>
  <c r="U17" i="55"/>
  <c r="U36" i="55"/>
  <c r="U54" i="55"/>
  <c r="U72" i="55"/>
  <c r="M39" i="89" s="1"/>
  <c r="U17" i="54"/>
  <c r="U36" i="54"/>
  <c r="U54" i="54"/>
  <c r="U72" i="54"/>
  <c r="L39" i="89" s="1"/>
  <c r="U17" i="53"/>
  <c r="U36" i="53"/>
  <c r="U54" i="53"/>
  <c r="U17" i="52"/>
  <c r="U36" i="52"/>
  <c r="U54" i="52"/>
  <c r="U17" i="51"/>
  <c r="U36" i="51"/>
  <c r="U54" i="51"/>
  <c r="U17" i="50"/>
  <c r="U36" i="50"/>
  <c r="U54" i="50"/>
  <c r="U17" i="49"/>
  <c r="U36" i="49"/>
  <c r="U54" i="49"/>
  <c r="U72" i="49"/>
  <c r="G39" i="89" s="1"/>
  <c r="U17" i="48"/>
  <c r="U36" i="48"/>
  <c r="U54" i="48"/>
  <c r="U17" i="47"/>
  <c r="U36" i="47"/>
  <c r="U54" i="47"/>
  <c r="U17" i="46"/>
  <c r="U36" i="46"/>
  <c r="U54" i="46"/>
  <c r="U17" i="42"/>
  <c r="U36" i="42"/>
  <c r="U54" i="42"/>
  <c r="U17" i="41"/>
  <c r="U36" i="41"/>
  <c r="U54" i="41"/>
  <c r="U72" i="41"/>
  <c r="AO41" i="45" s="1"/>
  <c r="U17" i="40"/>
  <c r="U36" i="40"/>
  <c r="U54" i="40"/>
  <c r="U17" i="39"/>
  <c r="U36" i="39"/>
  <c r="U54" i="39"/>
  <c r="U17" i="37"/>
  <c r="U36" i="37"/>
  <c r="U54" i="37"/>
  <c r="U17" i="38"/>
  <c r="U36" i="38"/>
  <c r="U54" i="38"/>
  <c r="U17" i="35"/>
  <c r="Z41" i="45" s="1"/>
  <c r="U36" i="35"/>
  <c r="Z39" i="45" s="1"/>
  <c r="U55" i="35"/>
  <c r="Z42" i="45" s="1"/>
  <c r="U16" i="34"/>
  <c r="U35" i="34"/>
  <c r="U52" i="34"/>
  <c r="U70" i="34"/>
  <c r="Q41" i="45" s="1"/>
  <c r="U17" i="28"/>
  <c r="U36" i="28"/>
  <c r="U54" i="28"/>
  <c r="U17" i="29"/>
  <c r="U36" i="29"/>
  <c r="U54" i="29"/>
  <c r="U17" i="26"/>
  <c r="U36" i="26"/>
  <c r="U54" i="26"/>
  <c r="U71" i="26"/>
  <c r="AW41" i="45" s="1"/>
  <c r="U17" i="27"/>
  <c r="U36" i="27"/>
  <c r="U54" i="27"/>
  <c r="U72" i="27"/>
  <c r="C39" i="89" s="1"/>
  <c r="U17" i="20"/>
  <c r="U36" i="20"/>
  <c r="U54" i="20"/>
  <c r="U17" i="18"/>
  <c r="U36" i="18"/>
  <c r="U54" i="18"/>
  <c r="U17" i="16"/>
  <c r="U36" i="16"/>
  <c r="U54" i="16"/>
  <c r="U17" i="77"/>
  <c r="U36" i="77"/>
  <c r="U54" i="77"/>
  <c r="U72" i="77"/>
  <c r="AI39" i="89" s="1"/>
  <c r="U17" i="21"/>
  <c r="U36" i="21"/>
  <c r="U54" i="21"/>
  <c r="U17" i="17"/>
  <c r="U36" i="17"/>
  <c r="U54" i="17"/>
  <c r="U17" i="15"/>
  <c r="U36" i="15"/>
  <c r="U54" i="15"/>
  <c r="U17" i="19"/>
  <c r="U36" i="19"/>
  <c r="U56" i="19"/>
  <c r="U17" i="22"/>
  <c r="U36" i="22"/>
  <c r="U54" i="22"/>
  <c r="U17" i="7"/>
  <c r="U36" i="7"/>
  <c r="U54" i="7"/>
  <c r="U17" i="12"/>
  <c r="U36" i="12"/>
  <c r="U54" i="12"/>
  <c r="U17" i="5"/>
  <c r="U36" i="5"/>
  <c r="U54" i="5"/>
  <c r="U71" i="5"/>
  <c r="BA41" i="45" s="1"/>
  <c r="U17" i="9"/>
  <c r="U36" i="9"/>
  <c r="U54" i="9"/>
  <c r="U72" i="9"/>
  <c r="BK39" i="45" s="1"/>
  <c r="U17" i="10"/>
  <c r="U36" i="10"/>
  <c r="U54" i="10"/>
  <c r="U72" i="10"/>
  <c r="BQ43" i="45" s="1"/>
  <c r="U17" i="2"/>
  <c r="U36" i="2"/>
  <c r="U54" i="2"/>
  <c r="U17" i="3"/>
  <c r="U36" i="3"/>
  <c r="U54" i="3"/>
  <c r="U72" i="3"/>
  <c r="AM42" i="45" s="1"/>
  <c r="U90" i="3"/>
  <c r="AM41" i="45" s="1"/>
  <c r="U108" i="3"/>
  <c r="AM39" i="45" s="1"/>
  <c r="U17" i="36"/>
  <c r="BH40" i="45" s="1"/>
  <c r="U36" i="36"/>
  <c r="BH41" i="45" s="1"/>
  <c r="U17" i="71"/>
  <c r="U36" i="71"/>
  <c r="U54" i="71"/>
  <c r="U54" i="13"/>
  <c r="U17" i="13"/>
  <c r="U36" i="13"/>
  <c r="U17" i="6"/>
  <c r="U36" i="6"/>
  <c r="U55" i="6"/>
  <c r="U74" i="6"/>
  <c r="BB39" i="45" s="1"/>
  <c r="U17" i="8"/>
  <c r="U36" i="8"/>
  <c r="U54" i="8"/>
  <c r="U72" i="8"/>
  <c r="U91" i="8"/>
  <c r="U34" i="4"/>
  <c r="U52" i="4"/>
  <c r="U69" i="4"/>
  <c r="AR40" i="45" s="1"/>
  <c r="U86" i="4"/>
  <c r="AR39" i="45" s="1"/>
  <c r="U103" i="4"/>
  <c r="AR41" i="45" s="1"/>
  <c r="U120" i="4"/>
  <c r="AR42" i="45" s="1"/>
  <c r="T54" i="128"/>
  <c r="T36" i="128"/>
  <c r="T17" i="128"/>
  <c r="T54" i="127"/>
  <c r="T36" i="127"/>
  <c r="T17" i="127"/>
  <c r="T54" i="126"/>
  <c r="T36" i="126"/>
  <c r="T17" i="126"/>
  <c r="T54" i="125"/>
  <c r="T36" i="125"/>
  <c r="T17" i="125"/>
  <c r="BH16" i="89" l="1"/>
  <c r="BH34" i="89"/>
  <c r="BH39" i="89"/>
  <c r="BH33" i="89"/>
  <c r="BH15" i="89"/>
  <c r="BU5" i="45"/>
  <c r="BU24" i="45"/>
  <c r="BU28" i="45"/>
  <c r="BF41" i="89"/>
  <c r="BU32" i="45"/>
  <c r="BU13" i="45"/>
  <c r="BU9" i="45"/>
  <c r="BU42" i="45"/>
  <c r="BU40" i="45"/>
  <c r="BU16" i="45"/>
  <c r="BU12" i="45"/>
  <c r="BU8" i="45"/>
  <c r="BU35" i="45"/>
  <c r="BU31" i="45"/>
  <c r="BU27" i="45"/>
  <c r="BU41" i="45"/>
  <c r="BU15" i="45"/>
  <c r="BU7" i="45"/>
  <c r="BU34" i="45"/>
  <c r="BU30" i="45"/>
  <c r="BU26" i="45"/>
  <c r="BU43" i="45"/>
  <c r="BU14" i="45"/>
  <c r="BU10" i="45"/>
  <c r="BU6" i="45"/>
  <c r="BU33" i="45"/>
  <c r="BU29" i="45"/>
  <c r="BU25" i="45"/>
  <c r="BI39" i="45"/>
  <c r="BU39" i="45" s="1"/>
  <c r="U38" i="19"/>
  <c r="BE18" i="89"/>
  <c r="BJ37" i="45"/>
  <c r="BE36" i="89"/>
  <c r="BJ18" i="45"/>
  <c r="BD18" i="89"/>
  <c r="BD36" i="89"/>
  <c r="BC36" i="89"/>
  <c r="BC18" i="89"/>
  <c r="BU44" i="45" l="1"/>
  <c r="BD41" i="89"/>
  <c r="BE41" i="89"/>
  <c r="BC41" i="89"/>
  <c r="S71" i="26"/>
  <c r="T71" i="26"/>
  <c r="T54" i="124"/>
  <c r="T36" i="124"/>
  <c r="T17" i="124"/>
  <c r="T17" i="123"/>
  <c r="T54" i="122"/>
  <c r="T36" i="122"/>
  <c r="T17" i="122"/>
  <c r="T54" i="117"/>
  <c r="T36" i="117"/>
  <c r="T17" i="117"/>
  <c r="T54" i="121"/>
  <c r="T36" i="121"/>
  <c r="T17" i="121"/>
  <c r="T72" i="115"/>
  <c r="T54" i="115"/>
  <c r="T36" i="115"/>
  <c r="T17" i="115"/>
  <c r="T54" i="116"/>
  <c r="T36" i="116"/>
  <c r="T17" i="116"/>
  <c r="T54" i="114"/>
  <c r="T36" i="114"/>
  <c r="T17" i="114"/>
  <c r="T54" i="120"/>
  <c r="T36" i="120"/>
  <c r="T17" i="120"/>
  <c r="T54" i="119"/>
  <c r="T36" i="119"/>
  <c r="T17" i="119"/>
  <c r="T54" i="118"/>
  <c r="T36" i="118"/>
  <c r="T17" i="118"/>
  <c r="T72" i="113"/>
  <c r="T54" i="113"/>
  <c r="T36" i="113"/>
  <c r="T17" i="113"/>
  <c r="T54" i="112"/>
  <c r="T36" i="112"/>
  <c r="T17" i="112"/>
  <c r="T54" i="111"/>
  <c r="T36" i="111"/>
  <c r="T17" i="111"/>
  <c r="T54" i="110"/>
  <c r="T36" i="110"/>
  <c r="T17" i="110"/>
  <c r="T54" i="109"/>
  <c r="T36" i="109"/>
  <c r="T17" i="109"/>
  <c r="T54" i="108"/>
  <c r="T36" i="108"/>
  <c r="T17" i="108"/>
  <c r="T54" i="107"/>
  <c r="T36" i="107"/>
  <c r="T17" i="107"/>
  <c r="T54" i="106"/>
  <c r="T36" i="106"/>
  <c r="T17" i="106"/>
  <c r="T54" i="105"/>
  <c r="T36" i="105"/>
  <c r="T17" i="105"/>
  <c r="T54" i="103"/>
  <c r="T36" i="103"/>
  <c r="T17" i="103"/>
  <c r="T54" i="104"/>
  <c r="T36" i="104"/>
  <c r="T17" i="104"/>
  <c r="T54" i="101"/>
  <c r="T36" i="101"/>
  <c r="T17" i="101"/>
  <c r="T72" i="100"/>
  <c r="T54" i="100"/>
  <c r="T36" i="100"/>
  <c r="T17" i="100"/>
  <c r="T54" i="102"/>
  <c r="T36" i="102"/>
  <c r="T17" i="102"/>
  <c r="T72" i="99"/>
  <c r="T54" i="99"/>
  <c r="T36" i="99"/>
  <c r="T17" i="99"/>
  <c r="T54" i="98"/>
  <c r="T36" i="98"/>
  <c r="T17" i="98"/>
  <c r="T54" i="95"/>
  <c r="T36" i="95"/>
  <c r="T17" i="95"/>
  <c r="T54" i="94"/>
  <c r="T36" i="94"/>
  <c r="T17" i="94"/>
  <c r="T54" i="93"/>
  <c r="T36" i="93"/>
  <c r="T17" i="93"/>
  <c r="T54" i="92"/>
  <c r="T36" i="92"/>
  <c r="T17" i="92"/>
  <c r="T54" i="91"/>
  <c r="T36" i="91"/>
  <c r="T17" i="91"/>
  <c r="T54" i="97"/>
  <c r="T36" i="97"/>
  <c r="T17" i="97"/>
  <c r="T54" i="96"/>
  <c r="T36" i="96"/>
  <c r="T17" i="96"/>
  <c r="T54" i="84"/>
  <c r="T36" i="84"/>
  <c r="T17" i="84"/>
  <c r="T54" i="87"/>
  <c r="T36" i="87"/>
  <c r="T17" i="87"/>
  <c r="T54" i="83"/>
  <c r="T36" i="83"/>
  <c r="T17" i="83"/>
  <c r="T54" i="86"/>
  <c r="T36" i="86"/>
  <c r="T17" i="86"/>
  <c r="T54" i="82"/>
  <c r="T36" i="82"/>
  <c r="T17" i="82"/>
  <c r="T54" i="85"/>
  <c r="T36" i="85"/>
  <c r="T17" i="85"/>
  <c r="T72" i="81"/>
  <c r="T54" i="81"/>
  <c r="T36" i="81"/>
  <c r="T17" i="81"/>
  <c r="T72" i="76"/>
  <c r="T54" i="76"/>
  <c r="T36" i="76"/>
  <c r="T17" i="76"/>
  <c r="T72" i="80"/>
  <c r="T54" i="80"/>
  <c r="T36" i="80"/>
  <c r="T17" i="80"/>
  <c r="T72" i="78"/>
  <c r="T54" i="78"/>
  <c r="T36" i="78"/>
  <c r="T17" i="78"/>
  <c r="T72" i="79"/>
  <c r="T54" i="79"/>
  <c r="T36" i="79"/>
  <c r="T17" i="79"/>
  <c r="T72" i="75"/>
  <c r="T54" i="75"/>
  <c r="T36" i="75"/>
  <c r="T17" i="75"/>
  <c r="T54" i="72"/>
  <c r="T36" i="72"/>
  <c r="T17" i="72"/>
  <c r="T54" i="73"/>
  <c r="T36" i="73"/>
  <c r="T17" i="73"/>
  <c r="T54" i="74"/>
  <c r="T36" i="74"/>
  <c r="T17" i="74"/>
  <c r="T54" i="65"/>
  <c r="T36" i="65"/>
  <c r="T17" i="65"/>
  <c r="T54" i="68"/>
  <c r="T36" i="68"/>
  <c r="T17" i="68"/>
  <c r="T54" i="70"/>
  <c r="T36" i="70"/>
  <c r="T17" i="70"/>
  <c r="T54" i="69"/>
  <c r="T36" i="69"/>
  <c r="T17" i="69"/>
  <c r="T54" i="66"/>
  <c r="T36" i="66"/>
  <c r="T17" i="66"/>
  <c r="T54" i="67"/>
  <c r="T36" i="67"/>
  <c r="T17" i="67"/>
  <c r="T72" i="64"/>
  <c r="T54" i="64"/>
  <c r="T36" i="64"/>
  <c r="T17" i="64"/>
  <c r="T54" i="63"/>
  <c r="T36" i="63"/>
  <c r="T17" i="63"/>
  <c r="T72" i="61"/>
  <c r="T54" i="61"/>
  <c r="T36" i="61"/>
  <c r="T17" i="61"/>
  <c r="T54" i="62"/>
  <c r="T36" i="62"/>
  <c r="T17" i="62"/>
  <c r="T54" i="60"/>
  <c r="T36" i="60"/>
  <c r="T17" i="60"/>
  <c r="T54" i="56"/>
  <c r="T36" i="56"/>
  <c r="T17" i="56"/>
  <c r="T72" i="55"/>
  <c r="T54" i="55"/>
  <c r="T36" i="55"/>
  <c r="T17" i="55"/>
  <c r="T72" i="54"/>
  <c r="T54" i="54"/>
  <c r="T36" i="54"/>
  <c r="T17" i="54"/>
  <c r="T54" i="53"/>
  <c r="T36" i="53"/>
  <c r="T17" i="53"/>
  <c r="T54" i="52"/>
  <c r="T36" i="52"/>
  <c r="T17" i="52"/>
  <c r="T54" i="51"/>
  <c r="T36" i="51"/>
  <c r="T17" i="51"/>
  <c r="T54" i="50"/>
  <c r="T36" i="50"/>
  <c r="T17" i="50"/>
  <c r="T72" i="49"/>
  <c r="T54" i="49"/>
  <c r="T36" i="49"/>
  <c r="T17" i="49"/>
  <c r="T54" i="48"/>
  <c r="T36" i="48"/>
  <c r="T17" i="48"/>
  <c r="T54" i="47"/>
  <c r="T36" i="47"/>
  <c r="T17" i="47"/>
  <c r="T54" i="46"/>
  <c r="T36" i="46"/>
  <c r="T17" i="46"/>
  <c r="T54" i="42"/>
  <c r="T36" i="42"/>
  <c r="T17" i="42"/>
  <c r="T72" i="41"/>
  <c r="T54" i="41"/>
  <c r="T36" i="41"/>
  <c r="T17" i="41"/>
  <c r="T54" i="40"/>
  <c r="T36" i="40"/>
  <c r="T17" i="40"/>
  <c r="T54" i="39"/>
  <c r="T36" i="39"/>
  <c r="T17" i="39"/>
  <c r="T54" i="37"/>
  <c r="T36" i="37"/>
  <c r="T17" i="37"/>
  <c r="T54" i="38"/>
  <c r="T36" i="38"/>
  <c r="T17" i="38"/>
  <c r="T55" i="35"/>
  <c r="T36" i="35"/>
  <c r="T17" i="35"/>
  <c r="T70" i="34"/>
  <c r="T52" i="34"/>
  <c r="T35" i="34"/>
  <c r="T16" i="34"/>
  <c r="T54" i="28"/>
  <c r="T36" i="28"/>
  <c r="T17" i="28"/>
  <c r="T54" i="29"/>
  <c r="T36" i="29"/>
  <c r="T17" i="29"/>
  <c r="T54" i="26"/>
  <c r="T36" i="26"/>
  <c r="T17" i="26"/>
  <c r="T72" i="27"/>
  <c r="T54" i="27"/>
  <c r="T36" i="27"/>
  <c r="T17" i="27"/>
  <c r="T54" i="20"/>
  <c r="T36" i="20"/>
  <c r="T17" i="20"/>
  <c r="T54" i="18"/>
  <c r="T36" i="18"/>
  <c r="T17" i="18"/>
  <c r="T54" i="16"/>
  <c r="T36" i="16"/>
  <c r="T17" i="16"/>
  <c r="T72" i="77"/>
  <c r="T54" i="77"/>
  <c r="T36" i="77"/>
  <c r="T17" i="77"/>
  <c r="T54" i="21"/>
  <c r="T36" i="21"/>
  <c r="T17" i="21"/>
  <c r="T54" i="17"/>
  <c r="T36" i="17"/>
  <c r="T17" i="17"/>
  <c r="T54" i="15"/>
  <c r="T36" i="15"/>
  <c r="T17" i="15"/>
  <c r="T56" i="19"/>
  <c r="T36" i="19"/>
  <c r="T17" i="19"/>
  <c r="T54" i="22"/>
  <c r="T36" i="22"/>
  <c r="T17" i="22"/>
  <c r="T54" i="7"/>
  <c r="T36" i="7"/>
  <c r="T17" i="7"/>
  <c r="T17" i="12"/>
  <c r="T36" i="12"/>
  <c r="T54" i="12"/>
  <c r="T17" i="5"/>
  <c r="T36" i="5"/>
  <c r="T54" i="5"/>
  <c r="T71" i="5"/>
  <c r="T17" i="9"/>
  <c r="T36" i="9"/>
  <c r="T54" i="9"/>
  <c r="T72" i="9"/>
  <c r="T17" i="10"/>
  <c r="T36" i="10"/>
  <c r="T54" i="10"/>
  <c r="T72" i="10"/>
  <c r="T17" i="2"/>
  <c r="T36" i="2"/>
  <c r="T54" i="2"/>
  <c r="T90" i="3"/>
  <c r="T108" i="3"/>
  <c r="T54" i="3"/>
  <c r="T72" i="3"/>
  <c r="T17" i="3"/>
  <c r="T36" i="3"/>
  <c r="T17" i="36"/>
  <c r="T36" i="36"/>
  <c r="T54" i="71"/>
  <c r="T17" i="71"/>
  <c r="T36" i="71"/>
  <c r="T54" i="13"/>
  <c r="T36" i="13"/>
  <c r="T17" i="13"/>
  <c r="T17" i="6"/>
  <c r="T36" i="6"/>
  <c r="T55" i="6"/>
  <c r="T74" i="6"/>
  <c r="T17" i="8"/>
  <c r="T36" i="8"/>
  <c r="T54" i="8"/>
  <c r="T72" i="8"/>
  <c r="T91" i="8"/>
  <c r="T69" i="4"/>
  <c r="T86" i="4"/>
  <c r="T103" i="4"/>
  <c r="T120" i="4"/>
  <c r="T52" i="4"/>
  <c r="T34" i="4"/>
  <c r="T16" i="4"/>
  <c r="S17" i="71"/>
  <c r="S36" i="71"/>
  <c r="S17" i="13"/>
  <c r="S36" i="13"/>
  <c r="S17" i="6"/>
  <c r="S36" i="6"/>
  <c r="S55" i="6"/>
  <c r="S17" i="8"/>
  <c r="S36" i="8"/>
  <c r="S54" i="8"/>
  <c r="S72" i="8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BB36" i="89" l="1"/>
  <c r="T38" i="19"/>
  <c r="S54" i="124"/>
  <c r="S36" i="124"/>
  <c r="S17" i="124"/>
  <c r="S17" i="123"/>
  <c r="BB18" i="89" l="1"/>
  <c r="S54" i="122"/>
  <c r="S36" i="122"/>
  <c r="S17" i="122"/>
  <c r="BB41" i="89" l="1"/>
  <c r="BA36" i="89"/>
  <c r="BA18" i="89"/>
  <c r="BA41" i="89" l="1"/>
  <c r="Q37" i="45"/>
  <c r="S54" i="117"/>
  <c r="S36" i="117"/>
  <c r="S17" i="117"/>
  <c r="S54" i="121"/>
  <c r="S36" i="121"/>
  <c r="S17" i="121"/>
  <c r="S72" i="115"/>
  <c r="S54" i="115"/>
  <c r="S36" i="115"/>
  <c r="S17" i="115"/>
  <c r="S54" i="116"/>
  <c r="S36" i="116"/>
  <c r="S17" i="116"/>
  <c r="S54" i="114"/>
  <c r="S36" i="114"/>
  <c r="S17" i="114"/>
  <c r="S54" i="120"/>
  <c r="S36" i="120"/>
  <c r="S17" i="120"/>
  <c r="S54" i="119"/>
  <c r="S36" i="119"/>
  <c r="S17" i="119"/>
  <c r="S54" i="118"/>
  <c r="S36" i="118"/>
  <c r="S17" i="118"/>
  <c r="S17" i="113"/>
  <c r="S36" i="113"/>
  <c r="S54" i="113"/>
  <c r="S72" i="113"/>
  <c r="S17" i="112"/>
  <c r="S36" i="112"/>
  <c r="S54" i="112"/>
  <c r="S17" i="111"/>
  <c r="S36" i="111"/>
  <c r="S54" i="111"/>
  <c r="S17" i="110"/>
  <c r="S36" i="110"/>
  <c r="S54" i="110"/>
  <c r="S17" i="109"/>
  <c r="S36" i="109"/>
  <c r="S54" i="109"/>
  <c r="S17" i="108"/>
  <c r="S36" i="108"/>
  <c r="S54" i="108"/>
  <c r="S17" i="107"/>
  <c r="S36" i="107"/>
  <c r="S54" i="107"/>
  <c r="S17" i="106"/>
  <c r="S36" i="106"/>
  <c r="S54" i="106"/>
  <c r="S17" i="105"/>
  <c r="S36" i="105"/>
  <c r="S54" i="105"/>
  <c r="S17" i="103"/>
  <c r="S36" i="103"/>
  <c r="S54" i="103"/>
  <c r="S17" i="104"/>
  <c r="S36" i="104"/>
  <c r="S54" i="104"/>
  <c r="S17" i="101"/>
  <c r="S36" i="101"/>
  <c r="S54" i="101"/>
  <c r="S17" i="100"/>
  <c r="S36" i="100"/>
  <c r="S54" i="100"/>
  <c r="S72" i="100"/>
  <c r="S17" i="102"/>
  <c r="S36" i="102"/>
  <c r="S54" i="102"/>
  <c r="S17" i="99"/>
  <c r="S36" i="99"/>
  <c r="S54" i="99"/>
  <c r="S72" i="99"/>
  <c r="S17" i="98"/>
  <c r="S36" i="98"/>
  <c r="S54" i="98"/>
  <c r="S17" i="95"/>
  <c r="S36" i="95"/>
  <c r="S54" i="95"/>
  <c r="S17" i="94"/>
  <c r="S36" i="94"/>
  <c r="S54" i="94"/>
  <c r="S17" i="93"/>
  <c r="S36" i="93"/>
  <c r="S54" i="93"/>
  <c r="S17" i="92"/>
  <c r="S36" i="92"/>
  <c r="S54" i="92"/>
  <c r="S17" i="91"/>
  <c r="S36" i="91"/>
  <c r="S54" i="91"/>
  <c r="S17" i="97"/>
  <c r="S36" i="97"/>
  <c r="S54" i="97"/>
  <c r="S17" i="96"/>
  <c r="S36" i="96"/>
  <c r="S54" i="96"/>
  <c r="S17" i="84"/>
  <c r="S36" i="84"/>
  <c r="S54" i="84"/>
  <c r="S17" i="87"/>
  <c r="S36" i="87"/>
  <c r="S54" i="87"/>
  <c r="S17" i="83"/>
  <c r="S36" i="83"/>
  <c r="S54" i="83"/>
  <c r="S17" i="86"/>
  <c r="S36" i="86"/>
  <c r="S54" i="86"/>
  <c r="S17" i="82"/>
  <c r="S36" i="82"/>
  <c r="S54" i="82"/>
  <c r="S17" i="85"/>
  <c r="S36" i="85"/>
  <c r="S54" i="85"/>
  <c r="S17" i="81"/>
  <c r="S36" i="81"/>
  <c r="S54" i="81"/>
  <c r="S72" i="81"/>
  <c r="S17" i="76"/>
  <c r="S36" i="76"/>
  <c r="S54" i="76"/>
  <c r="S72" i="76"/>
  <c r="S17" i="80"/>
  <c r="S36" i="80"/>
  <c r="S54" i="80"/>
  <c r="S72" i="80"/>
  <c r="S17" i="78"/>
  <c r="S36" i="78"/>
  <c r="S54" i="78"/>
  <c r="S72" i="78"/>
  <c r="S17" i="79"/>
  <c r="S36" i="79"/>
  <c r="S54" i="79"/>
  <c r="S72" i="79"/>
  <c r="S17" i="75"/>
  <c r="S36" i="75"/>
  <c r="S54" i="75"/>
  <c r="S72" i="75"/>
  <c r="S17" i="72"/>
  <c r="S36" i="72"/>
  <c r="S54" i="72"/>
  <c r="S17" i="73"/>
  <c r="S36" i="73"/>
  <c r="S54" i="73"/>
  <c r="S17" i="74"/>
  <c r="S36" i="74"/>
  <c r="S54" i="74"/>
  <c r="S17" i="65"/>
  <c r="S36" i="65"/>
  <c r="S54" i="65"/>
  <c r="S17" i="68"/>
  <c r="S36" i="68"/>
  <c r="S54" i="68"/>
  <c r="S17" i="70"/>
  <c r="S36" i="70"/>
  <c r="S54" i="70"/>
  <c r="S17" i="69"/>
  <c r="S36" i="69"/>
  <c r="S54" i="69"/>
  <c r="S17" i="66"/>
  <c r="S36" i="66"/>
  <c r="S54" i="66"/>
  <c r="S17" i="67"/>
  <c r="S36" i="67"/>
  <c r="S54" i="67"/>
  <c r="S17" i="64"/>
  <c r="S36" i="64"/>
  <c r="S54" i="64"/>
  <c r="S72" i="64"/>
  <c r="S17" i="63"/>
  <c r="S36" i="63"/>
  <c r="S54" i="63"/>
  <c r="S17" i="61"/>
  <c r="S36" i="61"/>
  <c r="S54" i="61"/>
  <c r="S72" i="61"/>
  <c r="S17" i="62"/>
  <c r="S36" i="62"/>
  <c r="S54" i="62"/>
  <c r="S17" i="60"/>
  <c r="S36" i="60"/>
  <c r="S54" i="60"/>
  <c r="S17" i="56"/>
  <c r="S36" i="56"/>
  <c r="S54" i="56"/>
  <c r="S17" i="55"/>
  <c r="S36" i="55"/>
  <c r="S54" i="55"/>
  <c r="S72" i="55"/>
  <c r="S17" i="54"/>
  <c r="S36" i="54"/>
  <c r="S54" i="54"/>
  <c r="S72" i="54"/>
  <c r="S17" i="53"/>
  <c r="S36" i="53"/>
  <c r="S54" i="53"/>
  <c r="S17" i="52"/>
  <c r="S36" i="52"/>
  <c r="S54" i="52"/>
  <c r="S17" i="51"/>
  <c r="S36" i="51"/>
  <c r="S54" i="51"/>
  <c r="S17" i="50"/>
  <c r="S36" i="50"/>
  <c r="S54" i="50"/>
  <c r="S17" i="49"/>
  <c r="S36" i="49"/>
  <c r="S54" i="49"/>
  <c r="S72" i="49"/>
  <c r="S17" i="48"/>
  <c r="S36" i="48"/>
  <c r="S54" i="48"/>
  <c r="S17" i="47"/>
  <c r="S36" i="47"/>
  <c r="S54" i="47"/>
  <c r="S17" i="46"/>
  <c r="S36" i="46"/>
  <c r="S54" i="46"/>
  <c r="S17" i="42"/>
  <c r="S36" i="42"/>
  <c r="S54" i="42"/>
  <c r="S17" i="41"/>
  <c r="S36" i="41"/>
  <c r="S54" i="41"/>
  <c r="S72" i="41"/>
  <c r="S17" i="40"/>
  <c r="S36" i="40"/>
  <c r="S54" i="40"/>
  <c r="S17" i="39"/>
  <c r="S36" i="39"/>
  <c r="S54" i="39"/>
  <c r="S17" i="37"/>
  <c r="S36" i="37"/>
  <c r="S54" i="37"/>
  <c r="S17" i="38"/>
  <c r="S36" i="38"/>
  <c r="S54" i="38"/>
  <c r="S17" i="35"/>
  <c r="S36" i="35"/>
  <c r="S55" i="35"/>
  <c r="S16" i="34"/>
  <c r="S35" i="34"/>
  <c r="S52" i="34"/>
  <c r="S70" i="34"/>
  <c r="S17" i="28"/>
  <c r="S36" i="28"/>
  <c r="S54" i="28"/>
  <c r="S17" i="29"/>
  <c r="S36" i="29"/>
  <c r="S54" i="29"/>
  <c r="S17" i="26"/>
  <c r="S36" i="26"/>
  <c r="S54" i="26"/>
  <c r="S17" i="27"/>
  <c r="S36" i="27"/>
  <c r="S54" i="27"/>
  <c r="S72" i="27"/>
  <c r="S17" i="20"/>
  <c r="S36" i="20"/>
  <c r="S54" i="20"/>
  <c r="S17" i="18"/>
  <c r="S36" i="18"/>
  <c r="S54" i="18"/>
  <c r="S17" i="16"/>
  <c r="S36" i="16"/>
  <c r="S54" i="16"/>
  <c r="S17" i="77"/>
  <c r="S36" i="77"/>
  <c r="S54" i="77"/>
  <c r="S72" i="77"/>
  <c r="S17" i="21"/>
  <c r="S36" i="21"/>
  <c r="S54" i="21"/>
  <c r="S17" i="17"/>
  <c r="S36" i="17"/>
  <c r="S54" i="17"/>
  <c r="S17" i="15"/>
  <c r="S36" i="15"/>
  <c r="S54" i="15"/>
  <c r="S17" i="19"/>
  <c r="S36" i="19"/>
  <c r="S56" i="19"/>
  <c r="S17" i="22"/>
  <c r="S36" i="22"/>
  <c r="S54" i="22"/>
  <c r="S17" i="7"/>
  <c r="S36" i="7"/>
  <c r="S54" i="7"/>
  <c r="S17" i="12"/>
  <c r="S36" i="12"/>
  <c r="S54" i="12"/>
  <c r="S17" i="5"/>
  <c r="S36" i="5"/>
  <c r="S54" i="5"/>
  <c r="S71" i="5"/>
  <c r="S17" i="9"/>
  <c r="S36" i="9"/>
  <c r="S54" i="9"/>
  <c r="S72" i="9"/>
  <c r="S17" i="10"/>
  <c r="S36" i="10"/>
  <c r="S54" i="10"/>
  <c r="S72" i="10"/>
  <c r="S17" i="2"/>
  <c r="S36" i="2"/>
  <c r="S54" i="2"/>
  <c r="S17" i="3"/>
  <c r="S36" i="3"/>
  <c r="S54" i="3"/>
  <c r="S72" i="3"/>
  <c r="S90" i="3"/>
  <c r="S17" i="36"/>
  <c r="S36" i="36"/>
  <c r="S54" i="71"/>
  <c r="S54" i="13"/>
  <c r="S74" i="6"/>
  <c r="S91" i="8"/>
  <c r="S16" i="4"/>
  <c r="S34" i="4"/>
  <c r="S52" i="4"/>
  <c r="S69" i="4"/>
  <c r="S86" i="4"/>
  <c r="S103" i="4"/>
  <c r="S120" i="4"/>
  <c r="Q18" i="45" l="1"/>
  <c r="S38" i="19"/>
  <c r="R54" i="117"/>
  <c r="R36" i="117"/>
  <c r="R17" i="117"/>
  <c r="R54" i="121"/>
  <c r="R36" i="121"/>
  <c r="R17" i="121"/>
  <c r="R72" i="115"/>
  <c r="R54" i="115"/>
  <c r="R36" i="115"/>
  <c r="R17" i="115"/>
  <c r="R54" i="116"/>
  <c r="R36" i="116"/>
  <c r="R17" i="116"/>
  <c r="R54" i="114"/>
  <c r="R36" i="114"/>
  <c r="R17" i="114"/>
  <c r="R54" i="120"/>
  <c r="R36" i="120"/>
  <c r="R17" i="120"/>
  <c r="R54" i="119"/>
  <c r="R36" i="119"/>
  <c r="R17" i="119"/>
  <c r="R54" i="118"/>
  <c r="R36" i="118"/>
  <c r="R17" i="118"/>
  <c r="R72" i="113"/>
  <c r="R54" i="113"/>
  <c r="R36" i="113"/>
  <c r="R17" i="113"/>
  <c r="R54" i="112"/>
  <c r="R36" i="112"/>
  <c r="R17" i="112"/>
  <c r="R54" i="111"/>
  <c r="R36" i="111"/>
  <c r="R17" i="111"/>
  <c r="R54" i="110"/>
  <c r="R36" i="110"/>
  <c r="R17" i="110"/>
  <c r="R54" i="109"/>
  <c r="R36" i="109"/>
  <c r="R17" i="109"/>
  <c r="R54" i="108"/>
  <c r="R36" i="108"/>
  <c r="R17" i="108"/>
  <c r="R54" i="107"/>
  <c r="R36" i="107"/>
  <c r="R17" i="107"/>
  <c r="R54" i="106"/>
  <c r="R36" i="106"/>
  <c r="R17" i="106"/>
  <c r="R54" i="105"/>
  <c r="R36" i="105"/>
  <c r="R17" i="105"/>
  <c r="R54" i="103"/>
  <c r="R36" i="103"/>
  <c r="R17" i="103"/>
  <c r="R54" i="104"/>
  <c r="R36" i="104"/>
  <c r="R17" i="104"/>
  <c r="R54" i="101"/>
  <c r="R36" i="101"/>
  <c r="R17" i="101"/>
  <c r="R72" i="100"/>
  <c r="R54" i="100"/>
  <c r="R36" i="100"/>
  <c r="R17" i="100"/>
  <c r="R54" i="102"/>
  <c r="R36" i="102"/>
  <c r="R17" i="102"/>
  <c r="R72" i="99"/>
  <c r="R54" i="99"/>
  <c r="R36" i="99"/>
  <c r="R17" i="99"/>
  <c r="R54" i="98"/>
  <c r="R36" i="98"/>
  <c r="R17" i="98"/>
  <c r="R54" i="95"/>
  <c r="R36" i="95"/>
  <c r="R17" i="95"/>
  <c r="R54" i="94"/>
  <c r="R36" i="94"/>
  <c r="R17" i="94"/>
  <c r="R54" i="93"/>
  <c r="R36" i="93"/>
  <c r="R17" i="93"/>
  <c r="R54" i="92"/>
  <c r="R36" i="92"/>
  <c r="R17" i="92"/>
  <c r="R54" i="91"/>
  <c r="R36" i="91"/>
  <c r="R17" i="91"/>
  <c r="R54" i="97"/>
  <c r="R36" i="97"/>
  <c r="R17" i="97"/>
  <c r="R54" i="96"/>
  <c r="R36" i="96"/>
  <c r="R17" i="96"/>
  <c r="R54" i="84"/>
  <c r="R36" i="84"/>
  <c r="R17" i="84"/>
  <c r="R54" i="87"/>
  <c r="R36" i="87"/>
  <c r="R17" i="87"/>
  <c r="R54" i="83"/>
  <c r="R36" i="83"/>
  <c r="R17" i="83"/>
  <c r="R54" i="86"/>
  <c r="R36" i="86"/>
  <c r="R17" i="86"/>
  <c r="R54" i="82"/>
  <c r="R36" i="82"/>
  <c r="R17" i="82"/>
  <c r="R54" i="85"/>
  <c r="R36" i="85"/>
  <c r="R17" i="85"/>
  <c r="R72" i="81"/>
  <c r="R54" i="81"/>
  <c r="R36" i="81"/>
  <c r="R17" i="81"/>
  <c r="R72" i="76"/>
  <c r="R54" i="76"/>
  <c r="R36" i="76"/>
  <c r="R17" i="76"/>
  <c r="R72" i="80"/>
  <c r="R54" i="80"/>
  <c r="R36" i="80"/>
  <c r="R17" i="80"/>
  <c r="R72" i="78"/>
  <c r="R54" i="78"/>
  <c r="R36" i="78"/>
  <c r="R17" i="78"/>
  <c r="R72" i="79"/>
  <c r="R54" i="79"/>
  <c r="R36" i="79"/>
  <c r="R17" i="79"/>
  <c r="R72" i="75"/>
  <c r="R54" i="75"/>
  <c r="R36" i="75"/>
  <c r="R17" i="75"/>
  <c r="R54" i="72"/>
  <c r="R36" i="72"/>
  <c r="R17" i="72"/>
  <c r="R54" i="73"/>
  <c r="R36" i="73"/>
  <c r="R17" i="73"/>
  <c r="R54" i="74"/>
  <c r="R36" i="74"/>
  <c r="R17" i="74"/>
  <c r="R54" i="65"/>
  <c r="R36" i="65"/>
  <c r="R17" i="65"/>
  <c r="R54" i="68"/>
  <c r="R36" i="68"/>
  <c r="R17" i="68"/>
  <c r="R54" i="70"/>
  <c r="R36" i="70"/>
  <c r="R17" i="70"/>
  <c r="R54" i="69"/>
  <c r="R36" i="69"/>
  <c r="R17" i="69"/>
  <c r="R54" i="66"/>
  <c r="R36" i="66"/>
  <c r="R17" i="66"/>
  <c r="R54" i="67"/>
  <c r="R36" i="67"/>
  <c r="R17" i="67"/>
  <c r="R72" i="64"/>
  <c r="R54" i="64"/>
  <c r="R36" i="64"/>
  <c r="R17" i="64"/>
  <c r="R54" i="63"/>
  <c r="R36" i="63"/>
  <c r="R17" i="63"/>
  <c r="R72" i="61"/>
  <c r="R54" i="61"/>
  <c r="R36" i="61"/>
  <c r="R17" i="61"/>
  <c r="R54" i="62"/>
  <c r="R36" i="62"/>
  <c r="R17" i="62"/>
  <c r="R54" i="60"/>
  <c r="R36" i="60"/>
  <c r="R17" i="60"/>
  <c r="R54" i="56"/>
  <c r="R36" i="56"/>
  <c r="R17" i="56"/>
  <c r="R72" i="55" l="1"/>
  <c r="R54" i="55"/>
  <c r="R36" i="55"/>
  <c r="R17" i="55"/>
  <c r="R72" i="54"/>
  <c r="R54" i="54"/>
  <c r="R36" i="54"/>
  <c r="R17" i="54"/>
  <c r="R54" i="53"/>
  <c r="R36" i="53"/>
  <c r="R17" i="53"/>
  <c r="R54" i="52"/>
  <c r="R36" i="52"/>
  <c r="R17" i="52"/>
  <c r="R54" i="51"/>
  <c r="R36" i="51"/>
  <c r="R17" i="51"/>
  <c r="R54" i="50"/>
  <c r="R36" i="50"/>
  <c r="R17" i="50"/>
  <c r="R72" i="49"/>
  <c r="R54" i="49"/>
  <c r="R36" i="49"/>
  <c r="R17" i="49"/>
  <c r="R54" i="48"/>
  <c r="R36" i="48"/>
  <c r="R17" i="48"/>
  <c r="R54" i="47"/>
  <c r="R36" i="47"/>
  <c r="R17" i="47"/>
  <c r="R54" i="46"/>
  <c r="R36" i="46"/>
  <c r="R17" i="46"/>
  <c r="R54" i="42"/>
  <c r="R36" i="42"/>
  <c r="R17" i="42"/>
  <c r="R72" i="41"/>
  <c r="R54" i="41"/>
  <c r="R36" i="41"/>
  <c r="R17" i="41"/>
  <c r="R54" i="40"/>
  <c r="R36" i="40"/>
  <c r="R17" i="40"/>
  <c r="R54" i="39"/>
  <c r="R36" i="39"/>
  <c r="R17" i="39"/>
  <c r="R54" i="37"/>
  <c r="R36" i="37"/>
  <c r="R17" i="37"/>
  <c r="R54" i="38"/>
  <c r="R36" i="38"/>
  <c r="R17" i="38"/>
  <c r="R55" i="35"/>
  <c r="R36" i="35"/>
  <c r="R17" i="35"/>
  <c r="R70" i="34"/>
  <c r="R52" i="34"/>
  <c r="R35" i="34"/>
  <c r="R16" i="34"/>
  <c r="R54" i="28"/>
  <c r="R36" i="28"/>
  <c r="R17" i="28"/>
  <c r="R54" i="29"/>
  <c r="R36" i="29"/>
  <c r="R17" i="29"/>
  <c r="R71" i="26"/>
  <c r="R54" i="26"/>
  <c r="R36" i="26"/>
  <c r="R17" i="26"/>
  <c r="R72" i="27"/>
  <c r="R54" i="27"/>
  <c r="R36" i="27"/>
  <c r="R17" i="27"/>
  <c r="R54" i="18"/>
  <c r="R36" i="18"/>
  <c r="R17" i="18"/>
  <c r="R54" i="16"/>
  <c r="R36" i="16"/>
  <c r="R17" i="16"/>
  <c r="R72" i="77"/>
  <c r="R54" i="77"/>
  <c r="R36" i="77"/>
  <c r="R17" i="77"/>
  <c r="R54" i="21"/>
  <c r="R36" i="21"/>
  <c r="R17" i="21"/>
  <c r="R54" i="17"/>
  <c r="R36" i="17"/>
  <c r="R17" i="17"/>
  <c r="R54" i="15"/>
  <c r="R36" i="15"/>
  <c r="R17" i="15"/>
  <c r="R56" i="19"/>
  <c r="R36" i="19"/>
  <c r="R17" i="19"/>
  <c r="R54" i="22"/>
  <c r="R36" i="22"/>
  <c r="R17" i="22"/>
  <c r="R54" i="7"/>
  <c r="R36" i="7"/>
  <c r="R17" i="7"/>
  <c r="R54" i="12"/>
  <c r="R36" i="12"/>
  <c r="R17" i="12"/>
  <c r="R71" i="5"/>
  <c r="R54" i="5"/>
  <c r="R36" i="5"/>
  <c r="R17" i="5"/>
  <c r="R72" i="9"/>
  <c r="R54" i="9"/>
  <c r="R36" i="9"/>
  <c r="R17" i="9"/>
  <c r="R72" i="10"/>
  <c r="R54" i="10"/>
  <c r="R36" i="10"/>
  <c r="R17" i="10"/>
  <c r="R54" i="2"/>
  <c r="R36" i="2"/>
  <c r="R17" i="2"/>
  <c r="R90" i="3"/>
  <c r="R72" i="3"/>
  <c r="R54" i="3"/>
  <c r="R36" i="3"/>
  <c r="R17" i="3"/>
  <c r="R17" i="36"/>
  <c r="R36" i="36"/>
  <c r="R54" i="71"/>
  <c r="R36" i="71"/>
  <c r="R17" i="71"/>
  <c r="R54" i="13"/>
  <c r="R36" i="13"/>
  <c r="R17" i="13"/>
  <c r="R74" i="6"/>
  <c r="R55" i="6"/>
  <c r="R36" i="6"/>
  <c r="R17" i="6"/>
  <c r="R17" i="8"/>
  <c r="R36" i="8"/>
  <c r="R54" i="8"/>
  <c r="R72" i="8"/>
  <c r="R91" i="8"/>
  <c r="R120" i="4"/>
  <c r="R103" i="4"/>
  <c r="R86" i="4"/>
  <c r="R69" i="4"/>
  <c r="R52" i="4"/>
  <c r="R34" i="4"/>
  <c r="Q72" i="75" l="1"/>
  <c r="P72" i="75"/>
  <c r="O72" i="75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Q71" i="26" l="1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AZ37" i="45" l="1"/>
  <c r="AA37" i="45"/>
  <c r="BL18" i="45"/>
  <c r="BE18" i="45"/>
  <c r="AZ18" i="45"/>
  <c r="BL37" i="45"/>
  <c r="BE37" i="45"/>
  <c r="AA18" i="45"/>
  <c r="BD37" i="45" l="1"/>
  <c r="AY36" i="89"/>
  <c r="BP37" i="45"/>
  <c r="AZ36" i="89"/>
  <c r="AY18" i="89"/>
  <c r="AZ18" i="89"/>
  <c r="BP18" i="45"/>
  <c r="BD18" i="45"/>
  <c r="AY41" i="89" l="1"/>
  <c r="AZ41" i="89"/>
  <c r="R17" i="20"/>
  <c r="R36" i="20"/>
  <c r="R54" i="20"/>
  <c r="R38" i="19" l="1"/>
  <c r="R16" i="4" l="1"/>
  <c r="Q52" i="34" l="1"/>
  <c r="P52" i="34"/>
  <c r="O52" i="34"/>
  <c r="N52" i="34"/>
  <c r="M52" i="34"/>
  <c r="L52" i="34"/>
  <c r="K52" i="34"/>
  <c r="J52" i="34"/>
  <c r="I52" i="34"/>
  <c r="H52" i="34"/>
  <c r="G52" i="34"/>
  <c r="F52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Q72" i="113" l="1"/>
  <c r="P72" i="113"/>
  <c r="Q54" i="113"/>
  <c r="P54" i="113"/>
  <c r="Q36" i="113"/>
  <c r="P36" i="113"/>
  <c r="Q17" i="113"/>
  <c r="P17" i="113"/>
  <c r="Q54" i="112"/>
  <c r="P54" i="112"/>
  <c r="Q36" i="112"/>
  <c r="P36" i="112"/>
  <c r="Q17" i="112"/>
  <c r="P17" i="112"/>
  <c r="Q54" i="111"/>
  <c r="P54" i="111"/>
  <c r="Q36" i="111"/>
  <c r="P36" i="111"/>
  <c r="Q17" i="111"/>
  <c r="P17" i="111"/>
  <c r="Q54" i="110"/>
  <c r="P54" i="110"/>
  <c r="Q36" i="110"/>
  <c r="P36" i="110"/>
  <c r="Q17" i="110"/>
  <c r="P17" i="110"/>
  <c r="Q54" i="109"/>
  <c r="P54" i="109"/>
  <c r="Q36" i="109"/>
  <c r="P36" i="109"/>
  <c r="Q17" i="109"/>
  <c r="P17" i="109"/>
  <c r="Q54" i="108"/>
  <c r="P54" i="108"/>
  <c r="Q36" i="108"/>
  <c r="P36" i="108"/>
  <c r="Q17" i="108"/>
  <c r="P17" i="108"/>
  <c r="Q54" i="107"/>
  <c r="P54" i="107"/>
  <c r="Q36" i="107"/>
  <c r="P36" i="107"/>
  <c r="Q17" i="107"/>
  <c r="P17" i="107"/>
  <c r="Q54" i="106"/>
  <c r="P54" i="106"/>
  <c r="Q36" i="106"/>
  <c r="P36" i="106"/>
  <c r="Q17" i="106"/>
  <c r="P17" i="106"/>
  <c r="Q16" i="34"/>
  <c r="P16" i="34"/>
  <c r="O16" i="34"/>
  <c r="N16" i="34"/>
  <c r="M16" i="34"/>
  <c r="L16" i="34"/>
  <c r="K16" i="34"/>
  <c r="J16" i="34"/>
  <c r="I16" i="34"/>
  <c r="H16" i="34"/>
  <c r="G16" i="34"/>
  <c r="F16" i="34"/>
  <c r="Q72" i="10"/>
  <c r="P72" i="10"/>
  <c r="O72" i="10"/>
  <c r="N72" i="10"/>
  <c r="AX18" i="89" l="1"/>
  <c r="BC37" i="45"/>
  <c r="BC18" i="45"/>
  <c r="AF37" i="45"/>
  <c r="AF18" i="45"/>
  <c r="V18" i="45"/>
  <c r="V37" i="45"/>
  <c r="U37" i="45"/>
  <c r="U18" i="45"/>
  <c r="L18" i="45"/>
  <c r="L37" i="45"/>
  <c r="E18" i="45"/>
  <c r="E37" i="45"/>
  <c r="I18" i="45"/>
  <c r="I37" i="45"/>
  <c r="AX36" i="89"/>
  <c r="Q54" i="105"/>
  <c r="P54" i="105"/>
  <c r="Q36" i="105"/>
  <c r="P36" i="105"/>
  <c r="Q17" i="105"/>
  <c r="P17" i="105"/>
  <c r="AX41" i="89" l="1"/>
  <c r="AW18" i="89"/>
  <c r="AW36" i="89"/>
  <c r="M37" i="45" l="1"/>
  <c r="AW41" i="89"/>
  <c r="M18" i="45"/>
  <c r="Q54" i="104"/>
  <c r="P54" i="104"/>
  <c r="Q36" i="104"/>
  <c r="P36" i="104"/>
  <c r="Q17" i="104"/>
  <c r="P17" i="104"/>
  <c r="AU18" i="89" l="1"/>
  <c r="AU36" i="89"/>
  <c r="Q54" i="103"/>
  <c r="P54" i="103"/>
  <c r="Q36" i="103"/>
  <c r="P36" i="103"/>
  <c r="Q17" i="103"/>
  <c r="P17" i="103"/>
  <c r="AU41" i="89" l="1"/>
  <c r="AV18" i="89"/>
  <c r="AV36" i="89"/>
  <c r="Q54" i="102"/>
  <c r="P54" i="102"/>
  <c r="Q36" i="102"/>
  <c r="P36" i="102"/>
  <c r="Q17" i="102"/>
  <c r="P17" i="102"/>
  <c r="Q54" i="101"/>
  <c r="P54" i="101"/>
  <c r="Q36" i="101"/>
  <c r="P36" i="101"/>
  <c r="Q17" i="101"/>
  <c r="P17" i="101"/>
  <c r="Q72" i="100"/>
  <c r="P72" i="100"/>
  <c r="Q54" i="100"/>
  <c r="P54" i="100"/>
  <c r="Q36" i="100"/>
  <c r="P36" i="100"/>
  <c r="Q17" i="100"/>
  <c r="P17" i="100"/>
  <c r="Q72" i="99"/>
  <c r="Q54" i="99"/>
  <c r="Q36" i="99"/>
  <c r="Q17" i="99"/>
  <c r="Q54" i="98"/>
  <c r="Q36" i="98"/>
  <c r="Q17" i="98"/>
  <c r="Q54" i="95"/>
  <c r="Q36" i="95"/>
  <c r="Q17" i="95"/>
  <c r="Q54" i="94"/>
  <c r="Q36" i="94"/>
  <c r="Q17" i="94"/>
  <c r="Q54" i="93"/>
  <c r="Q36" i="93"/>
  <c r="Q17" i="93"/>
  <c r="Q54" i="92"/>
  <c r="Q36" i="92"/>
  <c r="Q17" i="92"/>
  <c r="Q54" i="91"/>
  <c r="Q36" i="91"/>
  <c r="Q17" i="91"/>
  <c r="Q54" i="97"/>
  <c r="Q36" i="97"/>
  <c r="Q17" i="97"/>
  <c r="Q54" i="96"/>
  <c r="Q36" i="96"/>
  <c r="Q17" i="96"/>
  <c r="Q54" i="84"/>
  <c r="Q36" i="84"/>
  <c r="Q17" i="84"/>
  <c r="Q54" i="87"/>
  <c r="Q36" i="87"/>
  <c r="Q17" i="87"/>
  <c r="Q54" i="83"/>
  <c r="Q36" i="83"/>
  <c r="Q17" i="83"/>
  <c r="Q54" i="86"/>
  <c r="Q36" i="86"/>
  <c r="Q17" i="86"/>
  <c r="Q54" i="82"/>
  <c r="Q36" i="82"/>
  <c r="Q17" i="82"/>
  <c r="Q54" i="85"/>
  <c r="Q36" i="85"/>
  <c r="Q17" i="85"/>
  <c r="Q72" i="81"/>
  <c r="Q54" i="81"/>
  <c r="Q36" i="81"/>
  <c r="Q17" i="81"/>
  <c r="Q72" i="76"/>
  <c r="Q54" i="76"/>
  <c r="Q36" i="76"/>
  <c r="Q17" i="76"/>
  <c r="Q72" i="80"/>
  <c r="Q54" i="80"/>
  <c r="Q36" i="80"/>
  <c r="Q17" i="80"/>
  <c r="Q72" i="78"/>
  <c r="Q54" i="78"/>
  <c r="Q36" i="78"/>
  <c r="Q17" i="78"/>
  <c r="Q72" i="79"/>
  <c r="Q54" i="79"/>
  <c r="Q36" i="79"/>
  <c r="Q17" i="79"/>
  <c r="Q54" i="75"/>
  <c r="Q36" i="75"/>
  <c r="Q17" i="75"/>
  <c r="Q54" i="72"/>
  <c r="Q36" i="72"/>
  <c r="Q17" i="72"/>
  <c r="Q54" i="73"/>
  <c r="Q36" i="73"/>
  <c r="Q17" i="73"/>
  <c r="Q54" i="74"/>
  <c r="Q36" i="74"/>
  <c r="Q17" i="74"/>
  <c r="Q54" i="65"/>
  <c r="Q36" i="65"/>
  <c r="Q17" i="65"/>
  <c r="Q54" i="68"/>
  <c r="Q36" i="68"/>
  <c r="Q17" i="68"/>
  <c r="Q54" i="70"/>
  <c r="Q36" i="70"/>
  <c r="Q17" i="70"/>
  <c r="Q54" i="69"/>
  <c r="Q36" i="69"/>
  <c r="Q17" i="69"/>
  <c r="Q54" i="66"/>
  <c r="Q36" i="66"/>
  <c r="Q17" i="66"/>
  <c r="Q54" i="67"/>
  <c r="Q36" i="67"/>
  <c r="Q17" i="67"/>
  <c r="Q72" i="64"/>
  <c r="Q54" i="64"/>
  <c r="Q36" i="64"/>
  <c r="Q17" i="64"/>
  <c r="Q54" i="63"/>
  <c r="Q36" i="63"/>
  <c r="Q17" i="63"/>
  <c r="Q72" i="61"/>
  <c r="Q54" i="61"/>
  <c r="Q36" i="61"/>
  <c r="Q17" i="61"/>
  <c r="Q54" i="62"/>
  <c r="Q36" i="62"/>
  <c r="Q17" i="62"/>
  <c r="Q54" i="60"/>
  <c r="Q36" i="60"/>
  <c r="Q17" i="60"/>
  <c r="Q54" i="56"/>
  <c r="Q36" i="56"/>
  <c r="Q17" i="56"/>
  <c r="Q72" i="55"/>
  <c r="Q54" i="55"/>
  <c r="Q36" i="55"/>
  <c r="Q17" i="55"/>
  <c r="Q72" i="54"/>
  <c r="Q54" i="54"/>
  <c r="Q36" i="54"/>
  <c r="Q17" i="54"/>
  <c r="Q54" i="53"/>
  <c r="Q36" i="53"/>
  <c r="Q17" i="53"/>
  <c r="Q54" i="52"/>
  <c r="Q36" i="52"/>
  <c r="Q17" i="52"/>
  <c r="Q54" i="51"/>
  <c r="Q36" i="51"/>
  <c r="Q17" i="51"/>
  <c r="Q54" i="50"/>
  <c r="Q36" i="50"/>
  <c r="Q17" i="50"/>
  <c r="Q72" i="49"/>
  <c r="Q54" i="49"/>
  <c r="Q36" i="49"/>
  <c r="Q17" i="49"/>
  <c r="Q54" i="48"/>
  <c r="Q36" i="48"/>
  <c r="Q17" i="48"/>
  <c r="Q54" i="47"/>
  <c r="Q36" i="47"/>
  <c r="Q17" i="47"/>
  <c r="Q54" i="46"/>
  <c r="Q36" i="46"/>
  <c r="Q17" i="46"/>
  <c r="Q54" i="42"/>
  <c r="Q36" i="42"/>
  <c r="Q17" i="42"/>
  <c r="Q72" i="41"/>
  <c r="Q54" i="41"/>
  <c r="Q36" i="41"/>
  <c r="Q17" i="41"/>
  <c r="Q54" i="40"/>
  <c r="Q36" i="40"/>
  <c r="Q17" i="40"/>
  <c r="Q54" i="39"/>
  <c r="Q36" i="39"/>
  <c r="Q17" i="39"/>
  <c r="Q54" i="37"/>
  <c r="Q36" i="37"/>
  <c r="Q17" i="37"/>
  <c r="Q54" i="38"/>
  <c r="Q36" i="38"/>
  <c r="Q17" i="38"/>
  <c r="Q55" i="35"/>
  <c r="Q36" i="35"/>
  <c r="Q17" i="35"/>
  <c r="Q70" i="34"/>
  <c r="Q54" i="28"/>
  <c r="Q36" i="28"/>
  <c r="Q17" i="28"/>
  <c r="Q54" i="29"/>
  <c r="Q36" i="29"/>
  <c r="Q17" i="29"/>
  <c r="Q54" i="26"/>
  <c r="Q36" i="26"/>
  <c r="Q17" i="26"/>
  <c r="Q72" i="27"/>
  <c r="Q54" i="27"/>
  <c r="Q36" i="27"/>
  <c r="Q17" i="27"/>
  <c r="Q54" i="20"/>
  <c r="Q36" i="20"/>
  <c r="Q17" i="20"/>
  <c r="Q54" i="18"/>
  <c r="Q36" i="18"/>
  <c r="Q17" i="18"/>
  <c r="Q54" i="16"/>
  <c r="Q36" i="16"/>
  <c r="Q17" i="16"/>
  <c r="Q72" i="77"/>
  <c r="Q54" i="77"/>
  <c r="Q36" i="77"/>
  <c r="Q17" i="77"/>
  <c r="Q54" i="21"/>
  <c r="Q36" i="21"/>
  <c r="Q17" i="21"/>
  <c r="Q54" i="17"/>
  <c r="Q36" i="17"/>
  <c r="Q17" i="17"/>
  <c r="Q54" i="15"/>
  <c r="Q36" i="15"/>
  <c r="Q17" i="15"/>
  <c r="Q56" i="19"/>
  <c r="Q36" i="19"/>
  <c r="Q17" i="19"/>
  <c r="Q54" i="22"/>
  <c r="Q36" i="22"/>
  <c r="Q17" i="22"/>
  <c r="Q54" i="7"/>
  <c r="Q36" i="7"/>
  <c r="Q17" i="7"/>
  <c r="Q54" i="12"/>
  <c r="Q36" i="12"/>
  <c r="Q17" i="12"/>
  <c r="Q71" i="5"/>
  <c r="Q54" i="5"/>
  <c r="Q36" i="5"/>
  <c r="Q17" i="5"/>
  <c r="Q54" i="9"/>
  <c r="Q36" i="9"/>
  <c r="Q17" i="9"/>
  <c r="Q54" i="10"/>
  <c r="Q36" i="10"/>
  <c r="Q17" i="10"/>
  <c r="Q54" i="2"/>
  <c r="Q36" i="2"/>
  <c r="Q17" i="2"/>
  <c r="Q90" i="3"/>
  <c r="Q72" i="3"/>
  <c r="Q54" i="3"/>
  <c r="Q36" i="3"/>
  <c r="Q17" i="3"/>
  <c r="Q36" i="36"/>
  <c r="Q17" i="36"/>
  <c r="Q54" i="71"/>
  <c r="Q36" i="71"/>
  <c r="Q17" i="71"/>
  <c r="Q54" i="13"/>
  <c r="Q36" i="13"/>
  <c r="Q17" i="13"/>
  <c r="Q74" i="6"/>
  <c r="Q55" i="6"/>
  <c r="Q36" i="6"/>
  <c r="Q17" i="6"/>
  <c r="Q91" i="8"/>
  <c r="Q72" i="8"/>
  <c r="Q54" i="8"/>
  <c r="Q36" i="8"/>
  <c r="Q17" i="8"/>
  <c r="Q120" i="4"/>
  <c r="Q103" i="4"/>
  <c r="Q86" i="4"/>
  <c r="Q69" i="4"/>
  <c r="Q52" i="4"/>
  <c r="Q34" i="4"/>
  <c r="Q16" i="4"/>
  <c r="AV41" i="89" l="1"/>
  <c r="AT18" i="89"/>
  <c r="AT36" i="89"/>
  <c r="Q38" i="19"/>
  <c r="AS36" i="89"/>
  <c r="AS18" i="89"/>
  <c r="AR36" i="89"/>
  <c r="AR18" i="89"/>
  <c r="P17" i="56"/>
  <c r="AT41" i="89" l="1"/>
  <c r="AS41" i="89"/>
  <c r="AR41" i="89"/>
  <c r="P72" i="99"/>
  <c r="P54" i="99"/>
  <c r="P36" i="99"/>
  <c r="P17" i="99"/>
  <c r="AQ18" i="89" l="1"/>
  <c r="AQ36" i="89"/>
  <c r="Y37" i="45" l="1"/>
  <c r="Y18" i="45"/>
  <c r="AQ41" i="89"/>
  <c r="S37" i="45" l="1"/>
  <c r="S18" i="45"/>
  <c r="BN37" i="45"/>
  <c r="BN18" i="45"/>
  <c r="P54" i="98"/>
  <c r="P36" i="98"/>
  <c r="P17" i="98"/>
  <c r="P54" i="97"/>
  <c r="P36" i="97"/>
  <c r="P17" i="97"/>
  <c r="P54" i="96"/>
  <c r="P36" i="96"/>
  <c r="P17" i="96"/>
  <c r="P54" i="95" l="1"/>
  <c r="P36" i="95"/>
  <c r="P17" i="95"/>
  <c r="P54" i="94"/>
  <c r="P36" i="94"/>
  <c r="P17" i="94"/>
  <c r="P54" i="93"/>
  <c r="P36" i="93"/>
  <c r="P17" i="93"/>
  <c r="P54" i="92"/>
  <c r="P36" i="92"/>
  <c r="P17" i="92"/>
  <c r="P54" i="91"/>
  <c r="P36" i="91"/>
  <c r="P17" i="91"/>
  <c r="AP18" i="89" l="1"/>
  <c r="AM36" i="89"/>
  <c r="AO18" i="89"/>
  <c r="AM18" i="89"/>
  <c r="AN36" i="89"/>
  <c r="AN18" i="89"/>
  <c r="AP36" i="89"/>
  <c r="AO36" i="89"/>
  <c r="AL36" i="89"/>
  <c r="AL18" i="89"/>
  <c r="AP41" i="89" l="1"/>
  <c r="AM41" i="89"/>
  <c r="AO41" i="89"/>
  <c r="AL41" i="89"/>
  <c r="BQ37" i="45"/>
  <c r="AN41" i="89"/>
  <c r="P17" i="84"/>
  <c r="P36" i="84"/>
  <c r="P54" i="84"/>
  <c r="P17" i="87"/>
  <c r="P36" i="87"/>
  <c r="P54" i="87"/>
  <c r="P17" i="83"/>
  <c r="P36" i="83"/>
  <c r="P54" i="83"/>
  <c r="P17" i="86"/>
  <c r="P36" i="86"/>
  <c r="P54" i="86"/>
  <c r="P17" i="82"/>
  <c r="P36" i="82"/>
  <c r="P54" i="82"/>
  <c r="P17" i="85"/>
  <c r="P36" i="85"/>
  <c r="P54" i="85"/>
  <c r="P17" i="81"/>
  <c r="P36" i="81"/>
  <c r="P54" i="81"/>
  <c r="P72" i="81"/>
  <c r="P17" i="77"/>
  <c r="P36" i="77"/>
  <c r="P54" i="77"/>
  <c r="P72" i="77"/>
  <c r="P17" i="76"/>
  <c r="P36" i="76"/>
  <c r="P54" i="76"/>
  <c r="P72" i="76"/>
  <c r="P17" i="80"/>
  <c r="P36" i="80"/>
  <c r="P54" i="80"/>
  <c r="P72" i="80"/>
  <c r="P17" i="78"/>
  <c r="P36" i="78"/>
  <c r="P54" i="78"/>
  <c r="P72" i="78"/>
  <c r="P17" i="79"/>
  <c r="P36" i="79"/>
  <c r="P54" i="79"/>
  <c r="P72" i="79"/>
  <c r="P17" i="75"/>
  <c r="P36" i="75"/>
  <c r="P54" i="75"/>
  <c r="P17" i="72"/>
  <c r="P36" i="72"/>
  <c r="P54" i="72"/>
  <c r="P17" i="73"/>
  <c r="P36" i="73"/>
  <c r="P54" i="73"/>
  <c r="P17" i="74"/>
  <c r="P36" i="74"/>
  <c r="P54" i="74"/>
  <c r="P17" i="71"/>
  <c r="P36" i="71"/>
  <c r="P54" i="71"/>
  <c r="P17" i="65"/>
  <c r="P36" i="65"/>
  <c r="P54" i="65"/>
  <c r="P17" i="68"/>
  <c r="P36" i="68"/>
  <c r="P54" i="68"/>
  <c r="P17" i="70"/>
  <c r="P36" i="70"/>
  <c r="P54" i="70"/>
  <c r="P17" i="69"/>
  <c r="P36" i="69"/>
  <c r="P54" i="69"/>
  <c r="P17" i="66"/>
  <c r="P36" i="66"/>
  <c r="P54" i="66"/>
  <c r="P17" i="67"/>
  <c r="P36" i="67"/>
  <c r="P54" i="67"/>
  <c r="P17" i="64"/>
  <c r="P36" i="64"/>
  <c r="P54" i="64"/>
  <c r="P72" i="64"/>
  <c r="P17" i="63"/>
  <c r="P36" i="63"/>
  <c r="P54" i="63"/>
  <c r="P17" i="61"/>
  <c r="P36" i="61"/>
  <c r="P54" i="61"/>
  <c r="P72" i="61"/>
  <c r="P17" i="62"/>
  <c r="P36" i="62"/>
  <c r="P54" i="62"/>
  <c r="P17" i="60"/>
  <c r="P36" i="60"/>
  <c r="P54" i="60"/>
  <c r="P36" i="56"/>
  <c r="P54" i="56"/>
  <c r="P17" i="55"/>
  <c r="P36" i="55"/>
  <c r="P54" i="55"/>
  <c r="P72" i="55"/>
  <c r="P17" i="54"/>
  <c r="P36" i="54"/>
  <c r="P54" i="54"/>
  <c r="P72" i="54"/>
  <c r="P17" i="53"/>
  <c r="P36" i="53"/>
  <c r="P54" i="53"/>
  <c r="P17" i="52"/>
  <c r="P36" i="52"/>
  <c r="P54" i="52"/>
  <c r="P17" i="51"/>
  <c r="P36" i="51"/>
  <c r="P54" i="51"/>
  <c r="P17" i="50"/>
  <c r="P36" i="50"/>
  <c r="P54" i="50"/>
  <c r="P17" i="49"/>
  <c r="P36" i="49"/>
  <c r="P54" i="49"/>
  <c r="P72" i="49"/>
  <c r="P17" i="48"/>
  <c r="P36" i="48"/>
  <c r="P54" i="48"/>
  <c r="P17" i="47"/>
  <c r="P36" i="47"/>
  <c r="P54" i="47"/>
  <c r="P17" i="46"/>
  <c r="P36" i="46"/>
  <c r="P54" i="46"/>
  <c r="P17" i="42"/>
  <c r="P36" i="42"/>
  <c r="P54" i="42"/>
  <c r="P17" i="41"/>
  <c r="P36" i="41"/>
  <c r="P54" i="41"/>
  <c r="P72" i="41"/>
  <c r="P17" i="40"/>
  <c r="P36" i="40"/>
  <c r="P54" i="40"/>
  <c r="P17" i="39"/>
  <c r="P36" i="39"/>
  <c r="P54" i="39"/>
  <c r="P17" i="37"/>
  <c r="P36" i="37"/>
  <c r="P54" i="37"/>
  <c r="P17" i="38"/>
  <c r="P36" i="38"/>
  <c r="P54" i="38"/>
  <c r="P17" i="35"/>
  <c r="P36" i="35"/>
  <c r="P55" i="35"/>
  <c r="P70" i="34"/>
  <c r="P17" i="28"/>
  <c r="P36" i="28"/>
  <c r="P54" i="28"/>
  <c r="P17" i="29"/>
  <c r="P36" i="29"/>
  <c r="P54" i="29"/>
  <c r="P17" i="26"/>
  <c r="P36" i="26"/>
  <c r="P54" i="26"/>
  <c r="AK36" i="89" l="1"/>
  <c r="F18" i="89"/>
  <c r="AE18" i="89"/>
  <c r="AI18" i="89"/>
  <c r="L36" i="89"/>
  <c r="Y36" i="89"/>
  <c r="J18" i="89"/>
  <c r="W18" i="89"/>
  <c r="AA18" i="89"/>
  <c r="AG18" i="89"/>
  <c r="P36" i="89"/>
  <c r="H36" i="89"/>
  <c r="D36" i="89"/>
  <c r="U36" i="89"/>
  <c r="R36" i="89"/>
  <c r="AC36" i="89"/>
  <c r="D18" i="89"/>
  <c r="C36" i="89"/>
  <c r="W36" i="89"/>
  <c r="T18" i="89"/>
  <c r="Y18" i="89"/>
  <c r="AC18" i="89"/>
  <c r="K36" i="89"/>
  <c r="N36" i="89"/>
  <c r="T36" i="89"/>
  <c r="AH36" i="89"/>
  <c r="M18" i="89"/>
  <c r="G18" i="89"/>
  <c r="G36" i="89"/>
  <c r="F36" i="89"/>
  <c r="Z36" i="89"/>
  <c r="O18" i="89"/>
  <c r="P18" i="89"/>
  <c r="R18" i="89"/>
  <c r="Z18" i="89"/>
  <c r="AF18" i="89"/>
  <c r="AG36" i="89"/>
  <c r="AK18" i="89"/>
  <c r="AJ36" i="89"/>
  <c r="AJ18" i="89"/>
  <c r="AH18" i="89"/>
  <c r="AF36" i="89"/>
  <c r="AE36" i="89"/>
  <c r="AD36" i="89"/>
  <c r="AD18" i="89"/>
  <c r="AB36" i="89"/>
  <c r="AB18" i="89"/>
  <c r="AA36" i="89"/>
  <c r="X36" i="89"/>
  <c r="X18" i="89"/>
  <c r="V36" i="89"/>
  <c r="V18" i="89"/>
  <c r="U18" i="89"/>
  <c r="S36" i="89"/>
  <c r="Q36" i="89"/>
  <c r="Q18" i="89"/>
  <c r="O36" i="89"/>
  <c r="N18" i="89"/>
  <c r="M36" i="89"/>
  <c r="L18" i="89"/>
  <c r="K18" i="89"/>
  <c r="J36" i="89"/>
  <c r="I36" i="89"/>
  <c r="I18" i="89"/>
  <c r="H18" i="89"/>
  <c r="E36" i="89"/>
  <c r="E18" i="89"/>
  <c r="C18" i="89"/>
  <c r="AI36" i="89"/>
  <c r="S18" i="89"/>
  <c r="P17" i="27"/>
  <c r="P36" i="27"/>
  <c r="P54" i="27"/>
  <c r="P72" i="27"/>
  <c r="P17" i="20"/>
  <c r="P36" i="20"/>
  <c r="P54" i="20"/>
  <c r="P17" i="18"/>
  <c r="P36" i="18"/>
  <c r="P54" i="18"/>
  <c r="P17" i="16"/>
  <c r="P36" i="16"/>
  <c r="P54" i="16"/>
  <c r="P17" i="21"/>
  <c r="P36" i="21"/>
  <c r="P54" i="21"/>
  <c r="BH18" i="89" l="1"/>
  <c r="BH36" i="89"/>
  <c r="R41" i="89"/>
  <c r="BG46" i="89"/>
  <c r="J41" i="89"/>
  <c r="AE41" i="89"/>
  <c r="AK41" i="89"/>
  <c r="AH41" i="89"/>
  <c r="AA41" i="89"/>
  <c r="F41" i="89"/>
  <c r="AI41" i="89"/>
  <c r="P41" i="89"/>
  <c r="L41" i="89"/>
  <c r="D41" i="89"/>
  <c r="Z41" i="89"/>
  <c r="W41" i="89"/>
  <c r="N41" i="89"/>
  <c r="AJ41" i="89"/>
  <c r="AF41" i="89"/>
  <c r="O41" i="89"/>
  <c r="G41" i="89"/>
  <c r="T41" i="89"/>
  <c r="Y41" i="89"/>
  <c r="M41" i="89"/>
  <c r="AB41" i="89"/>
  <c r="H41" i="89"/>
  <c r="K41" i="89"/>
  <c r="U41" i="89"/>
  <c r="X41" i="89"/>
  <c r="AD41" i="89"/>
  <c r="AG41" i="89"/>
  <c r="AC41" i="89"/>
  <c r="I41" i="89"/>
  <c r="Q41" i="89"/>
  <c r="V41" i="89"/>
  <c r="E41" i="89"/>
  <c r="S41" i="89"/>
  <c r="C41" i="89"/>
  <c r="P17" i="17"/>
  <c r="P36" i="17"/>
  <c r="P54" i="17"/>
  <c r="P17" i="15"/>
  <c r="P36" i="15"/>
  <c r="P54" i="15"/>
  <c r="P17" i="19"/>
  <c r="P36" i="19"/>
  <c r="P56" i="19"/>
  <c r="P17" i="22"/>
  <c r="P36" i="22"/>
  <c r="P54" i="22"/>
  <c r="P17" i="7"/>
  <c r="P36" i="7"/>
  <c r="P54" i="7"/>
  <c r="P17" i="12"/>
  <c r="P36" i="12"/>
  <c r="P54" i="12"/>
  <c r="P17" i="5"/>
  <c r="P36" i="5"/>
  <c r="P54" i="5"/>
  <c r="P71" i="5"/>
  <c r="P17" i="9"/>
  <c r="P36" i="9"/>
  <c r="P54" i="9"/>
  <c r="P17" i="10"/>
  <c r="P36" i="10"/>
  <c r="P54" i="10"/>
  <c r="P17" i="2"/>
  <c r="P36" i="2"/>
  <c r="P54" i="2"/>
  <c r="P17" i="3"/>
  <c r="P36" i="3"/>
  <c r="P54" i="3"/>
  <c r="P72" i="3"/>
  <c r="P90" i="3"/>
  <c r="P17" i="36"/>
  <c r="P36" i="36"/>
  <c r="P17" i="13"/>
  <c r="P36" i="13"/>
  <c r="P54" i="13"/>
  <c r="P17" i="6"/>
  <c r="P36" i="6"/>
  <c r="P55" i="6"/>
  <c r="P74" i="6"/>
  <c r="P17" i="8"/>
  <c r="P36" i="8"/>
  <c r="P54" i="8"/>
  <c r="P72" i="8"/>
  <c r="P91" i="8"/>
  <c r="P16" i="4"/>
  <c r="P34" i="4"/>
  <c r="P52" i="4"/>
  <c r="P69" i="4"/>
  <c r="P86" i="4"/>
  <c r="P103" i="4"/>
  <c r="P120" i="4"/>
  <c r="BH37" i="89" l="1"/>
  <c r="BH41" i="89"/>
  <c r="P38" i="19"/>
  <c r="BF37" i="45"/>
  <c r="BF18" i="45"/>
  <c r="AU37" i="45"/>
  <c r="AU18" i="45"/>
  <c r="W37" i="45"/>
  <c r="W18" i="45"/>
  <c r="BG45" i="89" l="1"/>
  <c r="BG47" i="89" s="1"/>
  <c r="O54" i="87"/>
  <c r="O36" i="87"/>
  <c r="O17" i="87"/>
  <c r="O54" i="86"/>
  <c r="O36" i="86"/>
  <c r="O17" i="86"/>
  <c r="O54" i="85"/>
  <c r="O36" i="85"/>
  <c r="O17" i="85"/>
  <c r="O72" i="81"/>
  <c r="O72" i="76"/>
  <c r="N72" i="76"/>
  <c r="O72" i="80"/>
  <c r="N72" i="80"/>
  <c r="O72" i="79"/>
  <c r="N72" i="79"/>
  <c r="O54" i="84" l="1"/>
  <c r="O36" i="84"/>
  <c r="O17" i="84"/>
  <c r="O54" i="83"/>
  <c r="O36" i="83"/>
  <c r="O17" i="83"/>
  <c r="O54" i="82"/>
  <c r="O36" i="82"/>
  <c r="O17" i="82"/>
  <c r="O54" i="81"/>
  <c r="O36" i="81"/>
  <c r="O17" i="81"/>
  <c r="O54" i="80"/>
  <c r="O36" i="80"/>
  <c r="O17" i="80"/>
  <c r="O54" i="79"/>
  <c r="O36" i="79"/>
  <c r="O17" i="79"/>
  <c r="AT37" i="45" l="1"/>
  <c r="AT18" i="45"/>
  <c r="O72" i="78"/>
  <c r="N72" i="78"/>
  <c r="O54" i="78"/>
  <c r="O36" i="78"/>
  <c r="O17" i="78"/>
  <c r="O72" i="77"/>
  <c r="O54" i="77"/>
  <c r="O36" i="77"/>
  <c r="O17" i="77"/>
  <c r="O54" i="76" l="1"/>
  <c r="O36" i="76"/>
  <c r="O17" i="76"/>
  <c r="O120" i="4" l="1"/>
  <c r="O54" i="75"/>
  <c r="O36" i="75"/>
  <c r="O17" i="75"/>
  <c r="O54" i="74"/>
  <c r="O36" i="74"/>
  <c r="O17" i="74"/>
  <c r="O54" i="73"/>
  <c r="O36" i="73"/>
  <c r="O17" i="73"/>
  <c r="O54" i="72"/>
  <c r="O36" i="72"/>
  <c r="O17" i="72"/>
  <c r="O54" i="71"/>
  <c r="O36" i="71"/>
  <c r="O17" i="71"/>
  <c r="O54" i="65"/>
  <c r="O36" i="65"/>
  <c r="O17" i="65"/>
  <c r="O54" i="68"/>
  <c r="O36" i="68"/>
  <c r="O17" i="68"/>
  <c r="O54" i="70"/>
  <c r="O36" i="70"/>
  <c r="O17" i="70"/>
  <c r="O54" i="69"/>
  <c r="O36" i="69"/>
  <c r="O17" i="69"/>
  <c r="O54" i="66"/>
  <c r="O36" i="66"/>
  <c r="O17" i="66"/>
  <c r="O54" i="67"/>
  <c r="O36" i="67"/>
  <c r="O17" i="67"/>
  <c r="O72" i="64"/>
  <c r="O54" i="64"/>
  <c r="O36" i="64"/>
  <c r="O17" i="64"/>
  <c r="O54" i="63"/>
  <c r="O36" i="63"/>
  <c r="O17" i="63"/>
  <c r="O72" i="61"/>
  <c r="O54" i="61"/>
  <c r="O36" i="61"/>
  <c r="O17" i="61"/>
  <c r="O54" i="62"/>
  <c r="O36" i="62"/>
  <c r="O17" i="62"/>
  <c r="O54" i="60"/>
  <c r="O36" i="60"/>
  <c r="O17" i="60"/>
  <c r="O54" i="56"/>
  <c r="O36" i="56"/>
  <c r="O17" i="56"/>
  <c r="O72" i="55"/>
  <c r="O54" i="55"/>
  <c r="O36" i="55"/>
  <c r="O17" i="55"/>
  <c r="O72" i="54"/>
  <c r="O54" i="54"/>
  <c r="O36" i="54"/>
  <c r="O17" i="54"/>
  <c r="O54" i="53"/>
  <c r="O36" i="53"/>
  <c r="O17" i="53"/>
  <c r="O54" i="52"/>
  <c r="O36" i="52"/>
  <c r="O17" i="52"/>
  <c r="O54" i="51"/>
  <c r="O36" i="51"/>
  <c r="O17" i="51"/>
  <c r="O54" i="50"/>
  <c r="O36" i="50"/>
  <c r="O17" i="50"/>
  <c r="O72" i="49"/>
  <c r="O54" i="49"/>
  <c r="O36" i="49"/>
  <c r="O17" i="49"/>
  <c r="O54" i="48"/>
  <c r="O36" i="48"/>
  <c r="O17" i="48"/>
  <c r="O54" i="47"/>
  <c r="O36" i="47"/>
  <c r="O17" i="47"/>
  <c r="O54" i="46"/>
  <c r="O36" i="46"/>
  <c r="O17" i="46"/>
  <c r="O54" i="42"/>
  <c r="O36" i="42"/>
  <c r="O17" i="42"/>
  <c r="O72" i="41"/>
  <c r="O54" i="41"/>
  <c r="O36" i="41"/>
  <c r="O17" i="41"/>
  <c r="O54" i="40"/>
  <c r="O36" i="40"/>
  <c r="O17" i="40"/>
  <c r="O54" i="39"/>
  <c r="O36" i="39"/>
  <c r="O17" i="39"/>
  <c r="O54" i="37"/>
  <c r="O36" i="37"/>
  <c r="O17" i="37"/>
  <c r="O54" i="38"/>
  <c r="O36" i="38"/>
  <c r="O17" i="38"/>
  <c r="O55" i="35"/>
  <c r="O36" i="35"/>
  <c r="O17" i="35"/>
  <c r="O70" i="34"/>
  <c r="O54" i="28"/>
  <c r="O36" i="28"/>
  <c r="O17" i="28"/>
  <c r="O54" i="29"/>
  <c r="O36" i="29"/>
  <c r="O17" i="29"/>
  <c r="O54" i="26"/>
  <c r="O36" i="26"/>
  <c r="O17" i="26"/>
  <c r="O72" i="27"/>
  <c r="O54" i="27"/>
  <c r="O36" i="27"/>
  <c r="O17" i="27"/>
  <c r="O54" i="20"/>
  <c r="O36" i="20"/>
  <c r="O17" i="20"/>
  <c r="O54" i="18"/>
  <c r="O36" i="18"/>
  <c r="O17" i="18"/>
  <c r="O54" i="16"/>
  <c r="O36" i="16"/>
  <c r="O17" i="16"/>
  <c r="O54" i="21"/>
  <c r="O36" i="21"/>
  <c r="O17" i="21"/>
  <c r="O54" i="17"/>
  <c r="O36" i="17"/>
  <c r="O17" i="17"/>
  <c r="O54" i="15"/>
  <c r="O36" i="15"/>
  <c r="O17" i="15"/>
  <c r="O56" i="19"/>
  <c r="O36" i="19"/>
  <c r="O17" i="19"/>
  <c r="N56" i="19"/>
  <c r="O54" i="22"/>
  <c r="O36" i="22"/>
  <c r="O17" i="22"/>
  <c r="O54" i="7"/>
  <c r="O36" i="7"/>
  <c r="O17" i="7"/>
  <c r="O54" i="12"/>
  <c r="O36" i="12"/>
  <c r="O17" i="12"/>
  <c r="O71" i="5"/>
  <c r="O54" i="5"/>
  <c r="O36" i="5"/>
  <c r="O17" i="5"/>
  <c r="O54" i="9"/>
  <c r="O36" i="9"/>
  <c r="O17" i="9"/>
  <c r="O54" i="10"/>
  <c r="O36" i="10"/>
  <c r="O17" i="10"/>
  <c r="O54" i="2"/>
  <c r="O36" i="2"/>
  <c r="O17" i="2"/>
  <c r="O90" i="3"/>
  <c r="O72" i="3"/>
  <c r="O54" i="3"/>
  <c r="O36" i="3"/>
  <c r="O17" i="3"/>
  <c r="O36" i="36"/>
  <c r="O17" i="36"/>
  <c r="O17" i="13"/>
  <c r="O36" i="13"/>
  <c r="O54" i="13"/>
  <c r="O74" i="6"/>
  <c r="O55" i="6"/>
  <c r="O36" i="6"/>
  <c r="O17" i="6"/>
  <c r="O91" i="8"/>
  <c r="O72" i="8"/>
  <c r="O54" i="8"/>
  <c r="O36" i="8"/>
  <c r="O17" i="8"/>
  <c r="O52" i="4"/>
  <c r="O34" i="4"/>
  <c r="O16" i="4"/>
  <c r="O69" i="4"/>
  <c r="O86" i="4"/>
  <c r="O103" i="4"/>
  <c r="F52" i="4"/>
  <c r="O38" i="19" l="1"/>
  <c r="M54" i="53"/>
  <c r="F54" i="20"/>
  <c r="F54" i="18"/>
  <c r="F56" i="19"/>
  <c r="F54" i="22"/>
  <c r="F54" i="7"/>
  <c r="F54" i="12"/>
  <c r="F54" i="3"/>
  <c r="F55" i="6"/>
  <c r="F33" i="16"/>
  <c r="F54" i="16"/>
  <c r="F54" i="17"/>
  <c r="F54" i="10"/>
  <c r="F54" i="2"/>
  <c r="F54" i="8"/>
  <c r="J54" i="17" l="1"/>
  <c r="N17" i="67" l="1"/>
  <c r="F54" i="21" l="1"/>
  <c r="N54" i="8" l="1"/>
  <c r="H52" i="4"/>
  <c r="I52" i="4"/>
  <c r="J52" i="4"/>
  <c r="K52" i="4"/>
  <c r="L52" i="4"/>
  <c r="M52" i="4"/>
  <c r="N52" i="4"/>
  <c r="G36" i="10" l="1"/>
  <c r="H36" i="10"/>
  <c r="I36" i="10"/>
  <c r="J36" i="10"/>
  <c r="K36" i="10"/>
  <c r="L36" i="10"/>
  <c r="M36" i="10"/>
  <c r="N36" i="10"/>
  <c r="D36" i="10"/>
  <c r="N54" i="42" l="1"/>
  <c r="M54" i="42"/>
  <c r="L54" i="42"/>
  <c r="K54" i="42"/>
  <c r="N54" i="41"/>
  <c r="M54" i="41"/>
  <c r="L54" i="41"/>
  <c r="K54" i="41"/>
  <c r="N54" i="40"/>
  <c r="M54" i="40"/>
  <c r="L54" i="40"/>
  <c r="K54" i="40"/>
  <c r="N54" i="39"/>
  <c r="M54" i="39"/>
  <c r="L54" i="39"/>
  <c r="K54" i="39"/>
  <c r="J54" i="39"/>
  <c r="N54" i="37"/>
  <c r="M54" i="37"/>
  <c r="L54" i="37"/>
  <c r="K54" i="37"/>
  <c r="J54" i="37"/>
  <c r="N54" i="38"/>
  <c r="M54" i="38"/>
  <c r="L54" i="38"/>
  <c r="K54" i="38"/>
  <c r="J54" i="38"/>
  <c r="N54" i="28" l="1"/>
  <c r="M54" i="28"/>
  <c r="L54" i="28"/>
  <c r="K54" i="28"/>
  <c r="J54" i="28"/>
  <c r="I54" i="28"/>
  <c r="H54" i="28"/>
  <c r="G54" i="28"/>
  <c r="N54" i="29"/>
  <c r="M54" i="29"/>
  <c r="L54" i="29"/>
  <c r="K54" i="29"/>
  <c r="J54" i="29"/>
  <c r="I54" i="29"/>
  <c r="H54" i="29"/>
  <c r="G54" i="29"/>
  <c r="N54" i="26"/>
  <c r="M54" i="26"/>
  <c r="L54" i="26"/>
  <c r="K54" i="26"/>
  <c r="J54" i="26"/>
  <c r="I54" i="26"/>
  <c r="H54" i="26"/>
  <c r="G54" i="26"/>
  <c r="N54" i="20"/>
  <c r="M54" i="20"/>
  <c r="L54" i="20"/>
  <c r="K54" i="20"/>
  <c r="J54" i="20"/>
  <c r="I54" i="20"/>
  <c r="H54" i="20"/>
  <c r="G54" i="20"/>
  <c r="N54" i="18"/>
  <c r="M54" i="18"/>
  <c r="L54" i="18"/>
  <c r="K54" i="18"/>
  <c r="J54" i="18"/>
  <c r="I54" i="18"/>
  <c r="H54" i="18"/>
  <c r="G54" i="18"/>
  <c r="N54" i="16"/>
  <c r="M54" i="16"/>
  <c r="L54" i="16"/>
  <c r="K54" i="16"/>
  <c r="J54" i="16"/>
  <c r="I54" i="16"/>
  <c r="H54" i="16"/>
  <c r="G54" i="16"/>
  <c r="N54" i="17"/>
  <c r="M54" i="17"/>
  <c r="L54" i="17"/>
  <c r="K54" i="17"/>
  <c r="I54" i="17"/>
  <c r="H54" i="17"/>
  <c r="G54" i="17"/>
  <c r="N54" i="15"/>
  <c r="M54" i="15"/>
  <c r="L54" i="15"/>
  <c r="K54" i="15"/>
  <c r="J54" i="15"/>
  <c r="I54" i="15"/>
  <c r="H54" i="15"/>
  <c r="G54" i="15"/>
  <c r="M56" i="19"/>
  <c r="L56" i="19"/>
  <c r="K56" i="19"/>
  <c r="J56" i="19"/>
  <c r="I56" i="19"/>
  <c r="H56" i="19"/>
  <c r="G56" i="19"/>
  <c r="N54" i="22"/>
  <c r="M54" i="22"/>
  <c r="L54" i="22"/>
  <c r="K54" i="22"/>
  <c r="J54" i="22"/>
  <c r="I54" i="22"/>
  <c r="H54" i="22"/>
  <c r="G54" i="22"/>
  <c r="N54" i="7"/>
  <c r="M54" i="7"/>
  <c r="L54" i="7"/>
  <c r="K54" i="7"/>
  <c r="J54" i="7"/>
  <c r="I54" i="7"/>
  <c r="H54" i="7"/>
  <c r="G54" i="7"/>
  <c r="N54" i="12"/>
  <c r="M54" i="12"/>
  <c r="L54" i="12"/>
  <c r="K54" i="12"/>
  <c r="J54" i="12"/>
  <c r="I54" i="12"/>
  <c r="H54" i="12"/>
  <c r="G54" i="12"/>
  <c r="N54" i="5"/>
  <c r="M54" i="5"/>
  <c r="L54" i="5"/>
  <c r="K54" i="5"/>
  <c r="J54" i="5"/>
  <c r="I54" i="5"/>
  <c r="H54" i="5"/>
  <c r="G54" i="5"/>
  <c r="N54" i="9"/>
  <c r="M54" i="9"/>
  <c r="L54" i="9"/>
  <c r="K54" i="9"/>
  <c r="J54" i="9"/>
  <c r="I54" i="9"/>
  <c r="H54" i="9"/>
  <c r="G54" i="9"/>
  <c r="N54" i="10"/>
  <c r="M54" i="10"/>
  <c r="L54" i="10"/>
  <c r="K54" i="10"/>
  <c r="J54" i="10"/>
  <c r="I54" i="10"/>
  <c r="H54" i="10"/>
  <c r="G54" i="10"/>
  <c r="N54" i="2"/>
  <c r="M54" i="2"/>
  <c r="L54" i="2"/>
  <c r="K54" i="2"/>
  <c r="J54" i="2"/>
  <c r="I54" i="2"/>
  <c r="H54" i="2"/>
  <c r="G54" i="2"/>
  <c r="N54" i="3"/>
  <c r="M54" i="3"/>
  <c r="L54" i="3"/>
  <c r="K54" i="3"/>
  <c r="J54" i="3"/>
  <c r="I54" i="3"/>
  <c r="H54" i="3"/>
  <c r="G54" i="3"/>
  <c r="N54" i="13"/>
  <c r="M54" i="13"/>
  <c r="L54" i="13"/>
  <c r="K54" i="13"/>
  <c r="J54" i="13"/>
  <c r="I54" i="13"/>
  <c r="H54" i="13"/>
  <c r="G54" i="13"/>
  <c r="N55" i="6"/>
  <c r="M55" i="6"/>
  <c r="L55" i="6"/>
  <c r="K55" i="6"/>
  <c r="J55" i="6"/>
  <c r="I55" i="6"/>
  <c r="H55" i="6"/>
  <c r="G55" i="6"/>
  <c r="M54" i="8"/>
  <c r="L54" i="8"/>
  <c r="K54" i="8"/>
  <c r="J54" i="8"/>
  <c r="I54" i="8"/>
  <c r="H54" i="8"/>
  <c r="G54" i="8"/>
  <c r="G52" i="4"/>
  <c r="N54" i="70" l="1"/>
  <c r="N36" i="70"/>
  <c r="N17" i="70"/>
  <c r="N54" i="69"/>
  <c r="N36" i="69"/>
  <c r="N17" i="69"/>
  <c r="N54" i="68"/>
  <c r="N36" i="68"/>
  <c r="N17" i="68"/>
  <c r="N54" i="67"/>
  <c r="N36" i="67"/>
  <c r="N54" i="66"/>
  <c r="N36" i="66"/>
  <c r="N17" i="66"/>
  <c r="N54" i="65"/>
  <c r="N36" i="65"/>
  <c r="N17" i="65"/>
  <c r="N54" i="64" l="1"/>
  <c r="N72" i="64"/>
  <c r="N36" i="64"/>
  <c r="N17" i="64"/>
  <c r="N54" i="63"/>
  <c r="N36" i="63"/>
  <c r="N17" i="63"/>
  <c r="N16" i="4" l="1"/>
  <c r="N34" i="4"/>
  <c r="N69" i="4"/>
  <c r="N86" i="4"/>
  <c r="N103" i="4"/>
  <c r="N120" i="4"/>
  <c r="N17" i="8"/>
  <c r="N36" i="8"/>
  <c r="N72" i="8"/>
  <c r="N91" i="8"/>
  <c r="N17" i="6"/>
  <c r="N36" i="6"/>
  <c r="N74" i="6"/>
  <c r="N17" i="13"/>
  <c r="N36" i="13"/>
  <c r="N17" i="36"/>
  <c r="N36" i="36"/>
  <c r="N17" i="3"/>
  <c r="N36" i="3"/>
  <c r="N72" i="3"/>
  <c r="N90" i="3"/>
  <c r="N17" i="2"/>
  <c r="N36" i="2"/>
  <c r="N17" i="10"/>
  <c r="N17" i="9"/>
  <c r="N36" i="9"/>
  <c r="N17" i="5"/>
  <c r="N36" i="5"/>
  <c r="N71" i="5"/>
  <c r="N17" i="12"/>
  <c r="N36" i="12"/>
  <c r="N17" i="7"/>
  <c r="N36" i="7"/>
  <c r="N17" i="22"/>
  <c r="N36" i="22"/>
  <c r="N17" i="19"/>
  <c r="N36" i="19"/>
  <c r="N17" i="15"/>
  <c r="N36" i="15"/>
  <c r="N17" i="17"/>
  <c r="N36" i="17"/>
  <c r="N17" i="21"/>
  <c r="N36" i="21"/>
  <c r="N54" i="21"/>
  <c r="N17" i="16"/>
  <c r="N36" i="16"/>
  <c r="N17" i="18"/>
  <c r="N36" i="18"/>
  <c r="N17" i="20"/>
  <c r="N36" i="20"/>
  <c r="N17" i="27"/>
  <c r="N36" i="27"/>
  <c r="N72" i="27"/>
  <c r="N54" i="27"/>
  <c r="N17" i="26"/>
  <c r="N36" i="26"/>
  <c r="N17" i="29"/>
  <c r="N36" i="29"/>
  <c r="N17" i="28"/>
  <c r="N36" i="28"/>
  <c r="N70" i="34"/>
  <c r="N17" i="35"/>
  <c r="N36" i="35"/>
  <c r="N55" i="35"/>
  <c r="N17" i="38"/>
  <c r="N36" i="38"/>
  <c r="N17" i="37"/>
  <c r="N36" i="37"/>
  <c r="N17" i="39"/>
  <c r="N36" i="39"/>
  <c r="N17" i="40"/>
  <c r="N36" i="40"/>
  <c r="N17" i="41"/>
  <c r="N36" i="41"/>
  <c r="N72" i="41"/>
  <c r="N17" i="42"/>
  <c r="N36" i="42"/>
  <c r="N17" i="46"/>
  <c r="N36" i="46"/>
  <c r="N54" i="46"/>
  <c r="N17" i="47"/>
  <c r="N36" i="47"/>
  <c r="N54" i="47"/>
  <c r="N17" i="48"/>
  <c r="N36" i="48"/>
  <c r="N54" i="48"/>
  <c r="N17" i="49"/>
  <c r="N36" i="49"/>
  <c r="N72" i="49"/>
  <c r="N54" i="49"/>
  <c r="N17" i="50"/>
  <c r="N36" i="50"/>
  <c r="N54" i="50"/>
  <c r="N17" i="51"/>
  <c r="N36" i="51"/>
  <c r="N54" i="51"/>
  <c r="N17" i="52"/>
  <c r="N36" i="52"/>
  <c r="N54" i="52"/>
  <c r="N17" i="53"/>
  <c r="N36" i="53"/>
  <c r="N54" i="53"/>
  <c r="N17" i="54"/>
  <c r="N36" i="54"/>
  <c r="N72" i="54"/>
  <c r="N54" i="54"/>
  <c r="N17" i="55"/>
  <c r="N36" i="55"/>
  <c r="N72" i="55"/>
  <c r="N54" i="55"/>
  <c r="N17" i="56"/>
  <c r="N36" i="56"/>
  <c r="N54" i="56"/>
  <c r="N17" i="60"/>
  <c r="N36" i="60"/>
  <c r="N54" i="60"/>
  <c r="N17" i="62"/>
  <c r="N36" i="62"/>
  <c r="N54" i="62"/>
  <c r="N54" i="61"/>
  <c r="N72" i="61"/>
  <c r="N36" i="61"/>
  <c r="N17" i="61"/>
  <c r="N38" i="19" l="1"/>
  <c r="J54" i="21"/>
  <c r="M54" i="62" l="1"/>
  <c r="M36" i="62"/>
  <c r="M17" i="62"/>
  <c r="M54" i="61"/>
  <c r="M72" i="61"/>
  <c r="M36" i="61"/>
  <c r="M17" i="61"/>
  <c r="M54" i="60"/>
  <c r="M36" i="60"/>
  <c r="M17" i="60"/>
  <c r="M71" i="5" l="1"/>
  <c r="L71" i="5"/>
  <c r="K71" i="5"/>
  <c r="J71" i="5"/>
  <c r="I71" i="5"/>
  <c r="H71" i="5"/>
  <c r="G71" i="5"/>
  <c r="F71" i="5"/>
  <c r="E71" i="5"/>
  <c r="D71" i="5"/>
  <c r="C71" i="5"/>
  <c r="B71" i="5"/>
  <c r="M17" i="3" l="1"/>
  <c r="M36" i="3"/>
  <c r="M54" i="56" l="1"/>
  <c r="M36" i="56"/>
  <c r="M17" i="56"/>
  <c r="M54" i="55"/>
  <c r="M72" i="55"/>
  <c r="M36" i="55"/>
  <c r="M17" i="55"/>
  <c r="M54" i="54"/>
  <c r="M72" i="54"/>
  <c r="M36" i="54"/>
  <c r="M17" i="54"/>
  <c r="M36" i="53"/>
  <c r="M17" i="53"/>
  <c r="M54" i="52"/>
  <c r="M36" i="52"/>
  <c r="M17" i="52"/>
  <c r="M17" i="51"/>
  <c r="M36" i="51"/>
  <c r="M54" i="51"/>
  <c r="M54" i="50"/>
  <c r="M36" i="50"/>
  <c r="M17" i="50"/>
  <c r="M17" i="49"/>
  <c r="M36" i="49"/>
  <c r="M72" i="49"/>
  <c r="M54" i="49"/>
  <c r="M54" i="48"/>
  <c r="M36" i="48"/>
  <c r="M17" i="48"/>
  <c r="M54" i="47"/>
  <c r="M36" i="47"/>
  <c r="M17" i="47"/>
  <c r="M17" i="46"/>
  <c r="M36" i="46"/>
  <c r="M54" i="46"/>
  <c r="M17" i="42"/>
  <c r="M36" i="42"/>
  <c r="M17" i="41"/>
  <c r="M36" i="41"/>
  <c r="M72" i="41"/>
  <c r="M17" i="40"/>
  <c r="M36" i="40"/>
  <c r="M17" i="39"/>
  <c r="M36" i="39"/>
  <c r="M17" i="37"/>
  <c r="M36" i="37"/>
  <c r="M17" i="38"/>
  <c r="M36" i="38"/>
  <c r="M55" i="35"/>
  <c r="M36" i="35"/>
  <c r="M17" i="35"/>
  <c r="M70" i="34"/>
  <c r="M17" i="28"/>
  <c r="M36" i="28"/>
  <c r="M17" i="29"/>
  <c r="M36" i="29"/>
  <c r="M17" i="26"/>
  <c r="M36" i="26"/>
  <c r="M54" i="27"/>
  <c r="M72" i="27"/>
  <c r="M36" i="27"/>
  <c r="M17" i="27"/>
  <c r="M17" i="20"/>
  <c r="M36" i="20"/>
  <c r="M17" i="18"/>
  <c r="M36" i="18"/>
  <c r="M36" i="16"/>
  <c r="M17" i="16"/>
  <c r="M17" i="21"/>
  <c r="M36" i="21"/>
  <c r="M54" i="21"/>
  <c r="M17" i="17"/>
  <c r="M36" i="17"/>
  <c r="M36" i="15"/>
  <c r="M17" i="15"/>
  <c r="M36" i="19"/>
  <c r="M17" i="19"/>
  <c r="M36" i="22"/>
  <c r="M17" i="22"/>
  <c r="M36" i="7"/>
  <c r="M17" i="7"/>
  <c r="M36" i="12"/>
  <c r="M17" i="12"/>
  <c r="M36" i="5"/>
  <c r="M17" i="5"/>
  <c r="M36" i="9"/>
  <c r="M17" i="9"/>
  <c r="M17" i="10"/>
  <c r="M36" i="2"/>
  <c r="M17" i="2"/>
  <c r="M72" i="3"/>
  <c r="M90" i="3"/>
  <c r="M36" i="36"/>
  <c r="M17" i="36"/>
  <c r="M36" i="13"/>
  <c r="M17" i="13"/>
  <c r="M74" i="6"/>
  <c r="M36" i="6"/>
  <c r="M17" i="6"/>
  <c r="M91" i="8"/>
  <c r="M72" i="8"/>
  <c r="M36" i="8"/>
  <c r="M17" i="8"/>
  <c r="M120" i="4"/>
  <c r="M103" i="4"/>
  <c r="M86" i="4"/>
  <c r="M69" i="4"/>
  <c r="M34" i="4"/>
  <c r="M16" i="4"/>
  <c r="M38" i="19" l="1"/>
  <c r="L54" i="51" l="1"/>
  <c r="L36" i="51"/>
  <c r="L17" i="51"/>
  <c r="L54" i="50"/>
  <c r="L36" i="50"/>
  <c r="L17" i="50"/>
  <c r="L54" i="49"/>
  <c r="L72" i="49"/>
  <c r="L36" i="49"/>
  <c r="L17" i="49"/>
  <c r="L54" i="48"/>
  <c r="L36" i="48"/>
  <c r="L17" i="48"/>
  <c r="L54" i="47"/>
  <c r="L36" i="47"/>
  <c r="L17" i="47"/>
  <c r="L54" i="46"/>
  <c r="L36" i="46"/>
  <c r="L17" i="46"/>
  <c r="L54" i="21" l="1"/>
  <c r="BS37" i="45"/>
  <c r="BK37" i="45"/>
  <c r="BI37" i="45"/>
  <c r="BB37" i="45"/>
  <c r="AY37" i="45"/>
  <c r="AW37" i="45"/>
  <c r="AV37" i="45"/>
  <c r="AP37" i="45"/>
  <c r="AM37" i="45"/>
  <c r="AE37" i="45"/>
  <c r="N37" i="45"/>
  <c r="J37" i="45"/>
  <c r="F37" i="45"/>
  <c r="BS18" i="45"/>
  <c r="BK18" i="45"/>
  <c r="BB18" i="45"/>
  <c r="AY18" i="45"/>
  <c r="AP18" i="45"/>
  <c r="AM18" i="45"/>
  <c r="AE18" i="45"/>
  <c r="AC18" i="45"/>
  <c r="X18" i="45"/>
  <c r="R18" i="45"/>
  <c r="O18" i="45"/>
  <c r="N18" i="45"/>
  <c r="J18" i="45"/>
  <c r="F18" i="45"/>
  <c r="BI18" i="45"/>
  <c r="BH18" i="45"/>
  <c r="AV18" i="45"/>
  <c r="BH37" i="45"/>
  <c r="BA37" i="45"/>
  <c r="AR37" i="45"/>
  <c r="AO37" i="45"/>
  <c r="AJ37" i="45"/>
  <c r="AD37" i="45"/>
  <c r="X37" i="45"/>
  <c r="O37" i="45"/>
  <c r="P37" i="45"/>
  <c r="G37" i="45"/>
  <c r="D37" i="45"/>
  <c r="BQ18" i="45"/>
  <c r="BA18" i="45"/>
  <c r="AW18" i="45"/>
  <c r="AO18" i="45"/>
  <c r="AJ18" i="45"/>
  <c r="AD18" i="45"/>
  <c r="P18" i="45"/>
  <c r="G18" i="45"/>
  <c r="D18" i="45"/>
  <c r="L55" i="35"/>
  <c r="L54" i="27"/>
  <c r="L72" i="27"/>
  <c r="L72" i="3"/>
  <c r="L90" i="3"/>
  <c r="L91" i="8"/>
  <c r="L72" i="8"/>
  <c r="L74" i="6"/>
  <c r="L36" i="42"/>
  <c r="L17" i="42"/>
  <c r="L36" i="40"/>
  <c r="L17" i="40"/>
  <c r="L36" i="39"/>
  <c r="L17" i="39"/>
  <c r="L36" i="37"/>
  <c r="L17" i="37"/>
  <c r="L36" i="38"/>
  <c r="L17" i="38"/>
  <c r="L36" i="35"/>
  <c r="L17" i="35"/>
  <c r="L70" i="34"/>
  <c r="L36" i="28"/>
  <c r="L17" i="28"/>
  <c r="L36" i="29"/>
  <c r="L17" i="29"/>
  <c r="L36" i="26"/>
  <c r="L17" i="26"/>
  <c r="L36" i="27"/>
  <c r="L17" i="27"/>
  <c r="L36" i="20"/>
  <c r="L17" i="20"/>
  <c r="L36" i="18"/>
  <c r="L17" i="18"/>
  <c r="L36" i="16"/>
  <c r="L17" i="16"/>
  <c r="L36" i="21"/>
  <c r="L17" i="21"/>
  <c r="L36" i="17"/>
  <c r="L17" i="17"/>
  <c r="L36" i="15"/>
  <c r="L17" i="15"/>
  <c r="L36" i="19"/>
  <c r="L17" i="19"/>
  <c r="L36" i="22"/>
  <c r="L17" i="22"/>
  <c r="L36" i="7"/>
  <c r="L17" i="7"/>
  <c r="L36" i="12"/>
  <c r="L17" i="12"/>
  <c r="L36" i="5"/>
  <c r="L17" i="5"/>
  <c r="L36" i="9"/>
  <c r="L17" i="9"/>
  <c r="L17" i="10"/>
  <c r="L36" i="2"/>
  <c r="L17" i="2"/>
  <c r="L36" i="3"/>
  <c r="L17" i="3"/>
  <c r="L36" i="36"/>
  <c r="L17" i="36"/>
  <c r="L36" i="13"/>
  <c r="L17" i="13"/>
  <c r="L36" i="6"/>
  <c r="L17" i="6"/>
  <c r="L36" i="8"/>
  <c r="L17" i="8"/>
  <c r="L120" i="4"/>
  <c r="L103" i="4"/>
  <c r="L86" i="4"/>
  <c r="L69" i="4"/>
  <c r="L34" i="4"/>
  <c r="L16" i="4"/>
  <c r="L72" i="41"/>
  <c r="L36" i="41"/>
  <c r="L17" i="41"/>
  <c r="K72" i="41"/>
  <c r="J72" i="41"/>
  <c r="I72" i="41"/>
  <c r="H72" i="41"/>
  <c r="G72" i="41"/>
  <c r="F72" i="41"/>
  <c r="K36" i="42"/>
  <c r="J36" i="42"/>
  <c r="I36" i="42"/>
  <c r="H36" i="42"/>
  <c r="G36" i="42"/>
  <c r="F36" i="42"/>
  <c r="K17" i="42"/>
  <c r="J17" i="42"/>
  <c r="I17" i="42"/>
  <c r="H17" i="42"/>
  <c r="G17" i="42"/>
  <c r="F17" i="42"/>
  <c r="K36" i="41"/>
  <c r="J36" i="41"/>
  <c r="I36" i="41"/>
  <c r="H36" i="41"/>
  <c r="G36" i="41"/>
  <c r="F36" i="41"/>
  <c r="K17" i="41"/>
  <c r="J17" i="41"/>
  <c r="I17" i="41"/>
  <c r="H17" i="41"/>
  <c r="G17" i="41"/>
  <c r="F17" i="41"/>
  <c r="K36" i="40"/>
  <c r="J36" i="40"/>
  <c r="I36" i="40"/>
  <c r="H36" i="40"/>
  <c r="G36" i="40"/>
  <c r="F36" i="40"/>
  <c r="K17" i="40"/>
  <c r="J17" i="40"/>
  <c r="I17" i="40"/>
  <c r="H17" i="40"/>
  <c r="G17" i="40"/>
  <c r="F17" i="40"/>
  <c r="K36" i="39"/>
  <c r="K17" i="39"/>
  <c r="K36" i="37"/>
  <c r="K17" i="37"/>
  <c r="K36" i="38"/>
  <c r="K17" i="38"/>
  <c r="K55" i="35"/>
  <c r="K36" i="35"/>
  <c r="K17" i="35"/>
  <c r="K70" i="34"/>
  <c r="K36" i="28"/>
  <c r="K17" i="28"/>
  <c r="K36" i="29"/>
  <c r="K17" i="29"/>
  <c r="K36" i="26"/>
  <c r="K17" i="26"/>
  <c r="K54" i="27"/>
  <c r="K72" i="27"/>
  <c r="K36" i="27"/>
  <c r="K17" i="27"/>
  <c r="K36" i="20"/>
  <c r="K17" i="20"/>
  <c r="K36" i="18"/>
  <c r="K17" i="18"/>
  <c r="K36" i="16"/>
  <c r="K17" i="16"/>
  <c r="K54" i="21"/>
  <c r="I54" i="21"/>
  <c r="H54" i="21"/>
  <c r="K36" i="21"/>
  <c r="K17" i="21"/>
  <c r="K36" i="17"/>
  <c r="K17" i="17"/>
  <c r="K36" i="15"/>
  <c r="K17" i="15"/>
  <c r="K36" i="19"/>
  <c r="K17" i="19"/>
  <c r="K36" i="22"/>
  <c r="K17" i="22"/>
  <c r="K36" i="7"/>
  <c r="K17" i="7"/>
  <c r="K36" i="12"/>
  <c r="K17" i="12"/>
  <c r="K36" i="5"/>
  <c r="K17" i="5"/>
  <c r="K36" i="9"/>
  <c r="K17" i="9"/>
  <c r="K17" i="10"/>
  <c r="K36" i="2"/>
  <c r="K17" i="2"/>
  <c r="K90" i="3"/>
  <c r="K72" i="3"/>
  <c r="K36" i="3"/>
  <c r="K17" i="3"/>
  <c r="K36" i="36"/>
  <c r="K17" i="36"/>
  <c r="K36" i="13"/>
  <c r="K17" i="13"/>
  <c r="K74" i="6"/>
  <c r="K36" i="6"/>
  <c r="K17" i="6"/>
  <c r="K91" i="8"/>
  <c r="K72" i="8"/>
  <c r="K36" i="8"/>
  <c r="K17" i="8"/>
  <c r="J16" i="4"/>
  <c r="J34" i="4"/>
  <c r="J69" i="4"/>
  <c r="J103" i="4"/>
  <c r="K120" i="4"/>
  <c r="K103" i="4"/>
  <c r="K86" i="4"/>
  <c r="K69" i="4"/>
  <c r="K34" i="4"/>
  <c r="K16" i="4"/>
  <c r="J120" i="4"/>
  <c r="J86" i="4"/>
  <c r="J36" i="37"/>
  <c r="I36" i="37"/>
  <c r="H36" i="37"/>
  <c r="G36" i="37"/>
  <c r="F36" i="37"/>
  <c r="J17" i="37"/>
  <c r="I17" i="37"/>
  <c r="H17" i="37"/>
  <c r="G17" i="37"/>
  <c r="F17" i="37"/>
  <c r="J36" i="39"/>
  <c r="I36" i="39"/>
  <c r="H36" i="39"/>
  <c r="G36" i="39"/>
  <c r="F36" i="39"/>
  <c r="J17" i="39"/>
  <c r="I17" i="39"/>
  <c r="H17" i="39"/>
  <c r="G17" i="39"/>
  <c r="F17" i="39"/>
  <c r="J36" i="38"/>
  <c r="I36" i="38"/>
  <c r="H36" i="38"/>
  <c r="G36" i="38"/>
  <c r="F36" i="38"/>
  <c r="J17" i="38"/>
  <c r="I17" i="38"/>
  <c r="H17" i="38"/>
  <c r="G17" i="38"/>
  <c r="F17" i="38"/>
  <c r="J17" i="36"/>
  <c r="J36" i="36"/>
  <c r="I36" i="36"/>
  <c r="H36" i="36"/>
  <c r="G36" i="36"/>
  <c r="F36" i="36"/>
  <c r="E36" i="36"/>
  <c r="D36" i="36"/>
  <c r="C36" i="36"/>
  <c r="B36" i="36"/>
  <c r="I17" i="36"/>
  <c r="H17" i="36"/>
  <c r="G17" i="36"/>
  <c r="F17" i="36"/>
  <c r="E17" i="36"/>
  <c r="D17" i="36"/>
  <c r="C17" i="36"/>
  <c r="B17" i="36"/>
  <c r="J74" i="6"/>
  <c r="J36" i="6"/>
  <c r="J17" i="6"/>
  <c r="J72" i="8"/>
  <c r="J91" i="8"/>
  <c r="J55" i="35"/>
  <c r="J36" i="35"/>
  <c r="J17" i="35"/>
  <c r="J70" i="34"/>
  <c r="I55" i="35"/>
  <c r="I36" i="35"/>
  <c r="J90" i="3"/>
  <c r="J72" i="3"/>
  <c r="I17" i="35"/>
  <c r="I70" i="34"/>
  <c r="J72" i="27"/>
  <c r="J54" i="27"/>
  <c r="I54" i="27"/>
  <c r="H54" i="27"/>
  <c r="G54" i="27"/>
  <c r="F54" i="27"/>
  <c r="I72" i="3"/>
  <c r="I90" i="3"/>
  <c r="J36" i="28"/>
  <c r="J17" i="28"/>
  <c r="J17" i="10"/>
  <c r="J36" i="9"/>
  <c r="J17" i="9"/>
  <c r="J36" i="27"/>
  <c r="J17" i="27"/>
  <c r="J36" i="8"/>
  <c r="J17" i="8"/>
  <c r="J36" i="7"/>
  <c r="J17" i="7"/>
  <c r="J36" i="5"/>
  <c r="J17" i="5"/>
  <c r="J36" i="20"/>
  <c r="J17" i="20"/>
  <c r="J36" i="26"/>
  <c r="J17" i="26"/>
  <c r="J36" i="12"/>
  <c r="J17" i="12"/>
  <c r="J36" i="3"/>
  <c r="J17" i="3"/>
  <c r="J36" i="2"/>
  <c r="J17" i="2"/>
  <c r="J36" i="21"/>
  <c r="J17" i="21"/>
  <c r="J36" i="13"/>
  <c r="J17" i="13"/>
  <c r="J36" i="29"/>
  <c r="J17" i="29"/>
  <c r="J36" i="18"/>
  <c r="J17" i="18"/>
  <c r="J36" i="22"/>
  <c r="J17" i="22"/>
  <c r="J36" i="17"/>
  <c r="J17" i="17"/>
  <c r="J36" i="16"/>
  <c r="J17" i="16"/>
  <c r="J36" i="15"/>
  <c r="J17" i="15"/>
  <c r="I36" i="28"/>
  <c r="I17" i="28"/>
  <c r="I17" i="10"/>
  <c r="I36" i="9"/>
  <c r="I17" i="9"/>
  <c r="I72" i="27"/>
  <c r="I36" i="27"/>
  <c r="I17" i="27"/>
  <c r="I36" i="7"/>
  <c r="I17" i="7"/>
  <c r="I36" i="6"/>
  <c r="I17" i="6"/>
  <c r="I36" i="5"/>
  <c r="I17" i="5"/>
  <c r="I36" i="20"/>
  <c r="I17" i="20"/>
  <c r="I36" i="26"/>
  <c r="I17" i="26"/>
  <c r="I36" i="12"/>
  <c r="I17" i="12"/>
  <c r="I36" i="3"/>
  <c r="I17" i="3"/>
  <c r="I36" i="2"/>
  <c r="I17" i="2"/>
  <c r="I36" i="21"/>
  <c r="I17" i="21"/>
  <c r="J36" i="19"/>
  <c r="J17" i="19"/>
  <c r="J38" i="19" s="1"/>
  <c r="I36" i="13"/>
  <c r="I17" i="13"/>
  <c r="I36" i="29"/>
  <c r="I17" i="29"/>
  <c r="I36" i="18"/>
  <c r="I17" i="18"/>
  <c r="I36" i="22"/>
  <c r="I17" i="22"/>
  <c r="I36" i="17"/>
  <c r="I17" i="17"/>
  <c r="I36" i="16"/>
  <c r="I17" i="16"/>
  <c r="I36" i="15"/>
  <c r="I17" i="15"/>
  <c r="I36" i="8"/>
  <c r="I17" i="8"/>
  <c r="I36" i="19"/>
  <c r="I17" i="19"/>
  <c r="I91" i="8"/>
  <c r="I72" i="8"/>
  <c r="I74" i="6"/>
  <c r="I103" i="4"/>
  <c r="I86" i="4"/>
  <c r="I69" i="4"/>
  <c r="I120" i="4"/>
  <c r="I34" i="4"/>
  <c r="I16" i="4"/>
  <c r="H91" i="13"/>
  <c r="G91" i="13"/>
  <c r="F91" i="13"/>
  <c r="H72" i="13"/>
  <c r="G72" i="13"/>
  <c r="F72" i="13"/>
  <c r="H90" i="3"/>
  <c r="G90" i="3"/>
  <c r="H72" i="3"/>
  <c r="G72" i="3"/>
  <c r="H36" i="9"/>
  <c r="G36" i="9"/>
  <c r="H17" i="9"/>
  <c r="G17" i="9"/>
  <c r="H17" i="8"/>
  <c r="G17" i="8"/>
  <c r="H36" i="8"/>
  <c r="G36" i="8"/>
  <c r="H72" i="8"/>
  <c r="H91" i="8"/>
  <c r="H17" i="7"/>
  <c r="G17" i="7"/>
  <c r="H36" i="7"/>
  <c r="G36" i="7"/>
  <c r="H74" i="6"/>
  <c r="H36" i="6"/>
  <c r="G36" i="6"/>
  <c r="H17" i="6"/>
  <c r="G17" i="6"/>
  <c r="H17" i="5"/>
  <c r="G17" i="5"/>
  <c r="H36" i="5"/>
  <c r="G36" i="5"/>
  <c r="H36" i="12"/>
  <c r="G36" i="12"/>
  <c r="H17" i="12"/>
  <c r="G17" i="12"/>
  <c r="H36" i="2"/>
  <c r="G36" i="2"/>
  <c r="H17" i="2"/>
  <c r="G17" i="2"/>
  <c r="H36" i="19"/>
  <c r="G36" i="19"/>
  <c r="H17" i="19"/>
  <c r="H38" i="19"/>
  <c r="G17" i="19"/>
  <c r="H16" i="4"/>
  <c r="G16" i="4"/>
  <c r="H34" i="4"/>
  <c r="G34" i="4"/>
  <c r="H69" i="4"/>
  <c r="G69" i="4"/>
  <c r="H86" i="4"/>
  <c r="H103" i="4"/>
  <c r="G103" i="4"/>
  <c r="H120" i="4"/>
  <c r="H36" i="13"/>
  <c r="G36" i="13"/>
  <c r="H17" i="13"/>
  <c r="G17" i="13"/>
  <c r="G36" i="28"/>
  <c r="G17" i="28"/>
  <c r="H36" i="28"/>
  <c r="H17" i="28"/>
  <c r="G17" i="10"/>
  <c r="H17" i="10"/>
  <c r="H72" i="27"/>
  <c r="H36" i="27"/>
  <c r="H17" i="27"/>
  <c r="G17" i="20"/>
  <c r="G36" i="20"/>
  <c r="H36" i="20"/>
  <c r="H17" i="20"/>
  <c r="H36" i="21"/>
  <c r="H17" i="21"/>
  <c r="G36" i="26"/>
  <c r="G17" i="26"/>
  <c r="H36" i="26"/>
  <c r="H17" i="26"/>
  <c r="G36" i="3"/>
  <c r="G17" i="3"/>
  <c r="H36" i="3"/>
  <c r="H17" i="3"/>
  <c r="F17" i="29"/>
  <c r="G17" i="29"/>
  <c r="G36" i="29"/>
  <c r="H36" i="29"/>
  <c r="H17" i="29"/>
  <c r="G36" i="18"/>
  <c r="G17" i="18"/>
  <c r="H36" i="18"/>
  <c r="H17" i="18"/>
  <c r="H36" i="15"/>
  <c r="G36" i="15"/>
  <c r="H17" i="15"/>
  <c r="G36" i="22"/>
  <c r="G17" i="22"/>
  <c r="H36" i="22"/>
  <c r="H17" i="22"/>
  <c r="H17" i="17"/>
  <c r="G17" i="17"/>
  <c r="H36" i="17"/>
  <c r="G36" i="17"/>
  <c r="H17" i="16"/>
  <c r="G17" i="16"/>
  <c r="H36" i="16"/>
  <c r="G36" i="16"/>
  <c r="G17" i="15"/>
  <c r="G74" i="6"/>
  <c r="G53" i="21"/>
  <c r="G50" i="21"/>
  <c r="G46" i="21"/>
  <c r="G86" i="4"/>
  <c r="G120" i="4"/>
  <c r="G91" i="8"/>
  <c r="G72" i="8"/>
  <c r="F72" i="8"/>
  <c r="G36" i="21"/>
  <c r="G17" i="21"/>
  <c r="F5" i="7"/>
  <c r="F6" i="4"/>
  <c r="F14" i="22"/>
  <c r="G17" i="27"/>
  <c r="G36" i="27"/>
  <c r="G72" i="27"/>
  <c r="F69" i="27"/>
  <c r="F68" i="27"/>
  <c r="F4" i="4"/>
  <c r="F5" i="4"/>
  <c r="F7" i="4"/>
  <c r="F8" i="4"/>
  <c r="F9" i="4"/>
  <c r="F10" i="4"/>
  <c r="F11" i="4"/>
  <c r="F12" i="4"/>
  <c r="F13" i="4"/>
  <c r="F23" i="4"/>
  <c r="F24" i="4"/>
  <c r="F25" i="4"/>
  <c r="F26" i="4"/>
  <c r="F27" i="4"/>
  <c r="F28" i="4"/>
  <c r="F29" i="4"/>
  <c r="F30" i="4"/>
  <c r="F31" i="4"/>
  <c r="F17" i="28"/>
  <c r="F36" i="28"/>
  <c r="D6" i="10"/>
  <c r="E6" i="10"/>
  <c r="D8" i="10"/>
  <c r="D9" i="10"/>
  <c r="D10" i="10"/>
  <c r="E10" i="10"/>
  <c r="F10" i="10"/>
  <c r="D11" i="10"/>
  <c r="D12" i="10"/>
  <c r="F12" i="10"/>
  <c r="E14" i="10"/>
  <c r="F14" i="10"/>
  <c r="E16" i="10"/>
  <c r="F26" i="10"/>
  <c r="F29" i="10"/>
  <c r="F31" i="10"/>
  <c r="E33" i="10"/>
  <c r="E36" i="10" s="1"/>
  <c r="F14" i="9"/>
  <c r="B17" i="9"/>
  <c r="C17" i="9"/>
  <c r="D17" i="9"/>
  <c r="E17" i="9"/>
  <c r="B36" i="9"/>
  <c r="C36" i="9"/>
  <c r="D36" i="9"/>
  <c r="E36" i="9"/>
  <c r="F36" i="9"/>
  <c r="F12" i="27"/>
  <c r="F13" i="27"/>
  <c r="F14" i="27"/>
  <c r="F31" i="27"/>
  <c r="F32" i="27"/>
  <c r="F33" i="27"/>
  <c r="E5" i="8"/>
  <c r="E6" i="8"/>
  <c r="F6" i="8"/>
  <c r="E7" i="8"/>
  <c r="F7" i="8"/>
  <c r="F8" i="8"/>
  <c r="E9" i="8"/>
  <c r="F9" i="8"/>
  <c r="E10" i="8"/>
  <c r="F10" i="8"/>
  <c r="E11" i="8"/>
  <c r="F12" i="8"/>
  <c r="F13" i="8"/>
  <c r="E14" i="8"/>
  <c r="F14" i="8"/>
  <c r="E16" i="8"/>
  <c r="B17" i="8"/>
  <c r="C17" i="8"/>
  <c r="D17" i="8"/>
  <c r="F25" i="8"/>
  <c r="F27" i="8"/>
  <c r="E29" i="8"/>
  <c r="E33" i="8"/>
  <c r="F33" i="8"/>
  <c r="B36" i="8"/>
  <c r="C36" i="8"/>
  <c r="D36" i="8"/>
  <c r="B72" i="8"/>
  <c r="C72" i="8"/>
  <c r="D72" i="8"/>
  <c r="E72" i="8"/>
  <c r="D80" i="8"/>
  <c r="D91" i="8" s="1"/>
  <c r="B91" i="8"/>
  <c r="C91" i="8"/>
  <c r="E91" i="8"/>
  <c r="F91" i="8"/>
  <c r="E6" i="7"/>
  <c r="E7" i="7"/>
  <c r="F7" i="7"/>
  <c r="F8" i="7"/>
  <c r="E9" i="7"/>
  <c r="F9" i="7"/>
  <c r="E10" i="7"/>
  <c r="E11" i="7"/>
  <c r="F12" i="7"/>
  <c r="E13" i="7"/>
  <c r="F13" i="7"/>
  <c r="E14" i="7"/>
  <c r="F14" i="7"/>
  <c r="E15" i="7"/>
  <c r="E16" i="7"/>
  <c r="B17" i="7"/>
  <c r="C17" i="7"/>
  <c r="D17" i="7"/>
  <c r="F24" i="7"/>
  <c r="E25" i="7"/>
  <c r="E26" i="7"/>
  <c r="E28" i="7"/>
  <c r="E33" i="7"/>
  <c r="F33" i="7"/>
  <c r="E34" i="7"/>
  <c r="B36" i="7"/>
  <c r="C36" i="7"/>
  <c r="D36" i="7"/>
  <c r="E5" i="6"/>
  <c r="E7" i="6"/>
  <c r="E8" i="6"/>
  <c r="E11" i="6"/>
  <c r="E14" i="6"/>
  <c r="F14" i="6"/>
  <c r="F17" i="6" s="1"/>
  <c r="E15" i="6"/>
  <c r="E16" i="6"/>
  <c r="B17" i="6"/>
  <c r="C17" i="6"/>
  <c r="D17" i="6"/>
  <c r="E25" i="6"/>
  <c r="E33" i="6"/>
  <c r="F33" i="6"/>
  <c r="F36" i="6" s="1"/>
  <c r="B36" i="6"/>
  <c r="C36" i="6"/>
  <c r="D36" i="6"/>
  <c r="B74" i="6"/>
  <c r="C74" i="6"/>
  <c r="D74" i="6"/>
  <c r="E74" i="6"/>
  <c r="F74" i="6"/>
  <c r="E6" i="5"/>
  <c r="B17" i="5"/>
  <c r="C17" i="5"/>
  <c r="D17" i="5"/>
  <c r="E17" i="5"/>
  <c r="F17" i="5"/>
  <c r="B36" i="5"/>
  <c r="C36" i="5"/>
  <c r="D36" i="5"/>
  <c r="E36" i="5"/>
  <c r="F36" i="5"/>
  <c r="E9" i="20"/>
  <c r="F9" i="20"/>
  <c r="E13" i="20"/>
  <c r="F14" i="20"/>
  <c r="D17" i="20"/>
  <c r="F25" i="20"/>
  <c r="F33" i="20"/>
  <c r="D36" i="20"/>
  <c r="E36" i="20"/>
  <c r="F17" i="26"/>
  <c r="F36" i="26"/>
  <c r="E14" i="12"/>
  <c r="F14" i="12"/>
  <c r="F17" i="12" s="1"/>
  <c r="D15" i="12"/>
  <c r="D16" i="12"/>
  <c r="B17" i="12"/>
  <c r="C17" i="12"/>
  <c r="E17" i="12"/>
  <c r="E33" i="12"/>
  <c r="E36" i="12" s="1"/>
  <c r="D35" i="12"/>
  <c r="D36" i="12" s="1"/>
  <c r="B36" i="12"/>
  <c r="C36" i="12"/>
  <c r="F36" i="12"/>
  <c r="E4" i="4"/>
  <c r="E5" i="4"/>
  <c r="E6" i="4"/>
  <c r="E7" i="4"/>
  <c r="E8" i="4"/>
  <c r="E9" i="4"/>
  <c r="E10" i="4"/>
  <c r="E11" i="4"/>
  <c r="E12" i="4"/>
  <c r="E13" i="4"/>
  <c r="E14" i="4"/>
  <c r="E15" i="4"/>
  <c r="B16" i="4"/>
  <c r="C16" i="4"/>
  <c r="D16" i="4"/>
  <c r="E22" i="4"/>
  <c r="E23" i="4"/>
  <c r="E24" i="4"/>
  <c r="E25" i="4"/>
  <c r="E26" i="4"/>
  <c r="E27" i="4"/>
  <c r="E28" i="4"/>
  <c r="E29" i="4"/>
  <c r="E31" i="4"/>
  <c r="B34" i="4"/>
  <c r="C34" i="4"/>
  <c r="D34" i="4"/>
  <c r="B69" i="4"/>
  <c r="C69" i="4"/>
  <c r="D69" i="4"/>
  <c r="E69" i="4"/>
  <c r="F69" i="4"/>
  <c r="D75" i="4"/>
  <c r="D86" i="4" s="1"/>
  <c r="B86" i="4"/>
  <c r="C86" i="4"/>
  <c r="E86" i="4"/>
  <c r="F86" i="4"/>
  <c r="B103" i="4"/>
  <c r="C103" i="4"/>
  <c r="D103" i="4"/>
  <c r="E103" i="4"/>
  <c r="F103" i="4"/>
  <c r="D109" i="4"/>
  <c r="D113" i="4"/>
  <c r="B120" i="4"/>
  <c r="C120" i="4"/>
  <c r="E120" i="4"/>
  <c r="F120" i="4"/>
  <c r="F6" i="3"/>
  <c r="F7" i="3"/>
  <c r="F9" i="3"/>
  <c r="E11" i="3"/>
  <c r="F12" i="3"/>
  <c r="E14" i="3"/>
  <c r="F14" i="3"/>
  <c r="B17" i="3"/>
  <c r="C17" i="3"/>
  <c r="D17" i="3"/>
  <c r="E33" i="3"/>
  <c r="E36" i="3" s="1"/>
  <c r="F33" i="3"/>
  <c r="F36" i="3" s="1"/>
  <c r="B36" i="3"/>
  <c r="C36" i="3"/>
  <c r="D36" i="3"/>
  <c r="E11" i="2"/>
  <c r="E17" i="2" s="1"/>
  <c r="F14" i="2"/>
  <c r="F17" i="2" s="1"/>
  <c r="B17" i="2"/>
  <c r="C17" i="2"/>
  <c r="D17" i="2"/>
  <c r="E25" i="2"/>
  <c r="E30" i="2"/>
  <c r="B36" i="2"/>
  <c r="C36" i="2"/>
  <c r="D36" i="2"/>
  <c r="F36" i="2"/>
  <c r="F5" i="21"/>
  <c r="E6" i="21"/>
  <c r="F6" i="21"/>
  <c r="E7" i="21"/>
  <c r="F7" i="21"/>
  <c r="E8" i="21"/>
  <c r="F8" i="21"/>
  <c r="E9" i="21"/>
  <c r="F9" i="21"/>
  <c r="E10" i="21"/>
  <c r="E11" i="21"/>
  <c r="E12" i="21"/>
  <c r="F12" i="21"/>
  <c r="E13" i="21"/>
  <c r="F13" i="21"/>
  <c r="E14" i="21"/>
  <c r="F14" i="21"/>
  <c r="E15" i="21"/>
  <c r="E16" i="21"/>
  <c r="F24" i="21"/>
  <c r="E25" i="21"/>
  <c r="F25" i="21"/>
  <c r="E26" i="21"/>
  <c r="E27" i="21"/>
  <c r="E28" i="21"/>
  <c r="F28" i="21"/>
  <c r="E29" i="21"/>
  <c r="F29" i="21"/>
  <c r="E30" i="21"/>
  <c r="F30" i="21"/>
  <c r="E31" i="21"/>
  <c r="F32" i="21"/>
  <c r="E33" i="21"/>
  <c r="F33" i="21"/>
  <c r="E34" i="21"/>
  <c r="E5" i="19"/>
  <c r="E6" i="19"/>
  <c r="D9" i="19"/>
  <c r="F9" i="19"/>
  <c r="E11" i="19"/>
  <c r="D12" i="19"/>
  <c r="E12" i="19"/>
  <c r="D14" i="19"/>
  <c r="F14" i="19"/>
  <c r="F17" i="19"/>
  <c r="E24" i="19"/>
  <c r="F25" i="19"/>
  <c r="F36" i="19" s="1"/>
  <c r="D28" i="19"/>
  <c r="E30" i="19"/>
  <c r="D31" i="19"/>
  <c r="D36" i="19" s="1"/>
  <c r="D33" i="19"/>
  <c r="F33" i="19"/>
  <c r="F14" i="13"/>
  <c r="F17" i="13" s="1"/>
  <c r="B17" i="13"/>
  <c r="C17" i="13"/>
  <c r="D17" i="13"/>
  <c r="E17" i="13"/>
  <c r="B36" i="13"/>
  <c r="C36" i="13"/>
  <c r="D36" i="13"/>
  <c r="E36" i="13"/>
  <c r="F36" i="13"/>
  <c r="F36" i="29"/>
  <c r="E9" i="18"/>
  <c r="E10" i="18"/>
  <c r="E12" i="18"/>
  <c r="E13" i="18"/>
  <c r="E14" i="18"/>
  <c r="F14" i="18"/>
  <c r="F17" i="18" s="1"/>
  <c r="F33" i="18"/>
  <c r="F36" i="18" s="1"/>
  <c r="E36" i="18"/>
  <c r="D6" i="22"/>
  <c r="F6" i="22"/>
  <c r="D7" i="22"/>
  <c r="D9" i="22"/>
  <c r="D10" i="22"/>
  <c r="E11" i="22"/>
  <c r="E17" i="22" s="1"/>
  <c r="D13" i="22"/>
  <c r="E26" i="22"/>
  <c r="E36" i="22" s="1"/>
  <c r="F26" i="22"/>
  <c r="D28" i="22"/>
  <c r="D36" i="22" s="1"/>
  <c r="F33" i="22"/>
  <c r="E6" i="17"/>
  <c r="F6" i="17"/>
  <c r="E8" i="17"/>
  <c r="E9" i="17"/>
  <c r="E10" i="17"/>
  <c r="E13" i="17"/>
  <c r="F14" i="17"/>
  <c r="F17" i="17" s="1"/>
  <c r="E15" i="17"/>
  <c r="D16" i="17"/>
  <c r="D17" i="17" s="1"/>
  <c r="E27" i="17"/>
  <c r="E31" i="17"/>
  <c r="E33" i="17"/>
  <c r="F33" i="17"/>
  <c r="F36" i="17" s="1"/>
  <c r="E34" i="17"/>
  <c r="D36" i="17"/>
  <c r="F5" i="16"/>
  <c r="F17" i="16" s="1"/>
  <c r="F7" i="16"/>
  <c r="F9" i="16"/>
  <c r="E11" i="16"/>
  <c r="E12" i="16"/>
  <c r="F14" i="16"/>
  <c r="E15" i="16"/>
  <c r="E16" i="16"/>
  <c r="E28" i="16"/>
  <c r="E30" i="16"/>
  <c r="F36" i="16"/>
  <c r="E5" i="15"/>
  <c r="F7" i="15"/>
  <c r="E11" i="15"/>
  <c r="D13" i="15"/>
  <c r="D17" i="15" s="1"/>
  <c r="F13" i="15"/>
  <c r="F14" i="15"/>
  <c r="F33" i="15"/>
  <c r="F36" i="15" s="1"/>
  <c r="D36" i="15"/>
  <c r="E36" i="15"/>
  <c r="F17" i="9"/>
  <c r="K38" i="19"/>
  <c r="AC37" i="45"/>
  <c r="C18" i="45"/>
  <c r="C37" i="45"/>
  <c r="E17" i="18" l="1"/>
  <c r="E36" i="19"/>
  <c r="D17" i="19"/>
  <c r="E17" i="10"/>
  <c r="F36" i="22"/>
  <c r="G38" i="19"/>
  <c r="E17" i="17"/>
  <c r="D17" i="10"/>
  <c r="I38" i="19"/>
  <c r="E36" i="16"/>
  <c r="E17" i="7"/>
  <c r="E17" i="15"/>
  <c r="F17" i="20"/>
  <c r="F72" i="27"/>
  <c r="F17" i="15"/>
  <c r="E36" i="2"/>
  <c r="D17" i="12"/>
  <c r="F36" i="7"/>
  <c r="E36" i="7"/>
  <c r="F17" i="22"/>
  <c r="E17" i="20"/>
  <c r="G54" i="21"/>
  <c r="F36" i="20"/>
  <c r="F17" i="10"/>
  <c r="E36" i="17"/>
  <c r="D17" i="22"/>
  <c r="D38" i="19"/>
  <c r="F17" i="7"/>
  <c r="F36" i="10"/>
  <c r="E17" i="16"/>
  <c r="E17" i="19"/>
  <c r="E38" i="19" s="1"/>
  <c r="E36" i="21"/>
  <c r="F34" i="4"/>
  <c r="E16" i="4"/>
  <c r="D120" i="4"/>
  <c r="F16" i="4"/>
  <c r="E36" i="8"/>
  <c r="F17" i="8"/>
  <c r="E36" i="6"/>
  <c r="F36" i="21"/>
  <c r="E17" i="21"/>
  <c r="F36" i="27"/>
  <c r="F17" i="27"/>
  <c r="E17" i="3"/>
  <c r="F17" i="3"/>
  <c r="E17" i="6"/>
  <c r="E17" i="8"/>
  <c r="F36" i="8"/>
  <c r="F17" i="21"/>
  <c r="F38" i="19"/>
  <c r="E34" i="4"/>
  <c r="L38" i="19"/>
  <c r="R37" i="45"/>
  <c r="BU37" i="45" s="1"/>
  <c r="BH50" i="45"/>
  <c r="BG51" i="89" s="1"/>
  <c r="AR18" i="45"/>
  <c r="BU18" i="45" s="1"/>
  <c r="BU38" i="45" l="1"/>
  <c r="BU45" i="45" s="1"/>
  <c r="BH49" i="45" l="1"/>
  <c r="BG50" i="89" s="1"/>
  <c r="BG52" i="89" s="1"/>
  <c r="BH51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7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From 4/1/02-9/30/17 the rate was 2.625%
Rate decreased on 10/1/17 to 2.125%.
Oct 2019 rate increased to 3%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E7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6% from 4/04 to 10/19.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1/1/1993 - 12/31/2015</t>
        </r>
      </text>
    </comment>
    <comment ref="C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1/1/1993 - 12/31/2015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1/1/2000-3/31/2013</t>
        </r>
      </text>
    </comment>
    <comment ref="C2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1/1/2000-3/31/2013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effective: 1/1/2006-12/31/2012</t>
        </r>
      </text>
    </comment>
    <comment ref="D21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effective: 1/1/2006-12/31/2012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0.5% effective 4/1/1999.</t>
        </r>
      </text>
    </comment>
    <comment ref="C2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0.5% effective 4/1/1999.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0.5% from 4/1/2000 - 9/30/2017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Tax originally 1% and effective 1/1/1970. </t>
        </r>
      </text>
    </comment>
    <comment ref="D2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Tax originally 1% and effective 1/1/1970.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0.25% from 1/1/2014 - 6/30/2017</t>
        </r>
      </text>
    </comment>
    <comment ref="D21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0.25% from 1/1/2014 - 6/30/2017</t>
        </r>
      </text>
    </comment>
  </commentList>
</comments>
</file>

<file path=xl/sharedStrings.xml><?xml version="1.0" encoding="utf-8"?>
<sst xmlns="http://schemas.openxmlformats.org/spreadsheetml/2006/main" count="6284" uniqueCount="530">
  <si>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</si>
  <si>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</si>
  <si>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</si>
  <si>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</si>
  <si>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</si>
  <si>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</si>
  <si>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</si>
  <si>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</si>
  <si>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</si>
  <si>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</si>
  <si>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</si>
  <si>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</si>
  <si>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Mpls Sales</t>
  </si>
  <si>
    <t>Mpls Use</t>
  </si>
  <si>
    <t>Mpls DT Liquor</t>
  </si>
  <si>
    <t>Mpls Lodging</t>
  </si>
  <si>
    <t>Mpls DT Restaurant</t>
  </si>
  <si>
    <t>Mpls Entertainment</t>
  </si>
  <si>
    <t>Proctor Sales</t>
  </si>
  <si>
    <t>Proctor Use</t>
  </si>
  <si>
    <t>Rochester Sales</t>
  </si>
  <si>
    <t>Rochester Use</t>
  </si>
  <si>
    <t>St. Cloud Liquor</t>
  </si>
  <si>
    <t>St. Cloud Food</t>
  </si>
  <si>
    <t>St. Paul Sales</t>
  </si>
  <si>
    <t>St. Paul Use</t>
  </si>
  <si>
    <t>Two Harbors Sales</t>
  </si>
  <si>
    <t>Two Harbors Use</t>
  </si>
  <si>
    <t>Willmar Sales</t>
  </si>
  <si>
    <t>Willmar Use</t>
  </si>
  <si>
    <t>Hermantown Sales</t>
  </si>
  <si>
    <t>Hermantown Use</t>
  </si>
  <si>
    <t>Mankato Use</t>
  </si>
  <si>
    <t>Mankato Sales</t>
  </si>
  <si>
    <t>New Ulm Sales</t>
  </si>
  <si>
    <t>New Ulm Use</t>
  </si>
  <si>
    <t>Cook Cty Sales</t>
  </si>
  <si>
    <t>Cook Cty Use</t>
  </si>
  <si>
    <t>Rochester</t>
  </si>
  <si>
    <t>Lodging</t>
  </si>
  <si>
    <t>St. Cloud Sales</t>
  </si>
  <si>
    <t>St. Cloud Use</t>
  </si>
  <si>
    <t>Duluth</t>
  </si>
  <si>
    <t>Hermantown</t>
  </si>
  <si>
    <t>Mankato</t>
  </si>
  <si>
    <t>Minneapolis</t>
  </si>
  <si>
    <t>New Ulm</t>
  </si>
  <si>
    <t>Proctor</t>
  </si>
  <si>
    <t>St. Cloud</t>
  </si>
  <si>
    <t>St. Paul</t>
  </si>
  <si>
    <t>November</t>
  </si>
  <si>
    <t>January</t>
  </si>
  <si>
    <t>Total</t>
  </si>
  <si>
    <t>Total by</t>
  </si>
  <si>
    <t>Month</t>
  </si>
  <si>
    <t xml:space="preserve"> </t>
  </si>
  <si>
    <t>Austin Sales</t>
  </si>
  <si>
    <t>Austin Use</t>
  </si>
  <si>
    <t>Albert Lea Sales</t>
  </si>
  <si>
    <t>Albert Lea Use</t>
  </si>
  <si>
    <t>Baxter Sales</t>
  </si>
  <si>
    <t>Baxter Use</t>
  </si>
  <si>
    <t>Brainerd Sales</t>
  </si>
  <si>
    <t>Brainerd Use</t>
  </si>
  <si>
    <t>Duluth Sales</t>
  </si>
  <si>
    <t>Duluth Use</t>
  </si>
  <si>
    <t>Hennepin Cty Sales</t>
  </si>
  <si>
    <t>Hennepin Cty Use</t>
  </si>
  <si>
    <t>Owatonna Sales</t>
  </si>
  <si>
    <t>Owatonna Use</t>
  </si>
  <si>
    <t>Albert Lea</t>
  </si>
  <si>
    <t>Austin</t>
  </si>
  <si>
    <t>Baxter</t>
  </si>
  <si>
    <t>Brainerd</t>
  </si>
  <si>
    <t>Use Tax</t>
  </si>
  <si>
    <t>Sales Tax</t>
  </si>
  <si>
    <t>Owatonna</t>
  </si>
  <si>
    <t>Willmar</t>
  </si>
  <si>
    <t>Bemidji</t>
  </si>
  <si>
    <t>Hennepin</t>
  </si>
  <si>
    <t>Bemidji Sales</t>
  </si>
  <si>
    <t>Bemidji Use</t>
  </si>
  <si>
    <t>North Mankato</t>
  </si>
  <si>
    <t>North Mankato Use</t>
  </si>
  <si>
    <t>Transit Sales</t>
  </si>
  <si>
    <t>Transit Use</t>
  </si>
  <si>
    <t>Worthington Sales</t>
  </si>
  <si>
    <t>Worthington Use</t>
  </si>
  <si>
    <t>Clearwater Sales</t>
  </si>
  <si>
    <t>Clearwater Use</t>
  </si>
  <si>
    <t>Clearwater</t>
  </si>
  <si>
    <t>Worthington</t>
  </si>
  <si>
    <t>Mankato Enter.</t>
  </si>
  <si>
    <t>Mankato Food &amp; Bev</t>
  </si>
  <si>
    <t>Sales</t>
  </si>
  <si>
    <t>Use</t>
  </si>
  <si>
    <t>Excise</t>
  </si>
  <si>
    <t>(w/lodging)</t>
  </si>
  <si>
    <t>DT Rest.</t>
  </si>
  <si>
    <t>Entertain.</t>
  </si>
  <si>
    <t>Liquor</t>
  </si>
  <si>
    <t>Cook Cnty</t>
  </si>
  <si>
    <t>Year</t>
  </si>
  <si>
    <t>Cook Cty Lodging</t>
  </si>
  <si>
    <t>Cook Cty Admissions</t>
  </si>
  <si>
    <t>Food &amp; Beverage</t>
  </si>
  <si>
    <t>Entertainment</t>
  </si>
  <si>
    <t>Bloomington</t>
  </si>
  <si>
    <t>Vehicle Excise</t>
  </si>
  <si>
    <t>Winona</t>
  </si>
  <si>
    <t>Nov+Dec = Dec</t>
  </si>
  <si>
    <t>GenTax adjustment</t>
  </si>
  <si>
    <t>GenTax adj.</t>
  </si>
  <si>
    <t>Nov+Dec=Dec</t>
  </si>
  <si>
    <t>Brooklyn</t>
  </si>
  <si>
    <t>Center</t>
  </si>
  <si>
    <t>Little</t>
  </si>
  <si>
    <t>Falls</t>
  </si>
  <si>
    <t>Detroit</t>
  </si>
  <si>
    <t>Lakes</t>
  </si>
  <si>
    <t>Giants</t>
  </si>
  <si>
    <t>Ridge</t>
  </si>
  <si>
    <t>County</t>
  </si>
  <si>
    <t>Cook</t>
  </si>
  <si>
    <t>Two</t>
  </si>
  <si>
    <t>Harbors</t>
  </si>
  <si>
    <t>North</t>
  </si>
  <si>
    <t>Giants Ridge F&amp;B</t>
  </si>
  <si>
    <t>Giants Ridge Lodging</t>
  </si>
  <si>
    <t>Giants Ridge Admissions</t>
  </si>
  <si>
    <t>Fergus Falls Use</t>
  </si>
  <si>
    <t>Fergus Falls Sales</t>
  </si>
  <si>
    <t>Lanesboro Sales</t>
  </si>
  <si>
    <t>Lanesboro Use</t>
  </si>
  <si>
    <t>Hutchinson Sales</t>
  </si>
  <si>
    <t>Hutchinson Use</t>
  </si>
  <si>
    <t>Detroit Lakes F&amp;B</t>
  </si>
  <si>
    <t>Hutchinson</t>
  </si>
  <si>
    <t>Lanesboro</t>
  </si>
  <si>
    <t xml:space="preserve">Fergus </t>
  </si>
  <si>
    <t>Cloquet Use</t>
  </si>
  <si>
    <t>Cloquet Sales</t>
  </si>
  <si>
    <t>Marshall Sales</t>
  </si>
  <si>
    <t>Marshall Use</t>
  </si>
  <si>
    <t>Medford Sales</t>
  </si>
  <si>
    <t>Medford Use</t>
  </si>
  <si>
    <t>Marshall Food &amp; Beverage</t>
  </si>
  <si>
    <t>eff. 6/30/2008</t>
  </si>
  <si>
    <t>Transit Vehicle Excise</t>
  </si>
  <si>
    <t>Cloquet</t>
  </si>
  <si>
    <t>Marshall</t>
  </si>
  <si>
    <t>Medford</t>
  </si>
  <si>
    <t>-</t>
  </si>
  <si>
    <t>St. Paul Lodging &lt; than 50 rooms</t>
  </si>
  <si>
    <t>St. Paul Lodging 50+ rooms</t>
  </si>
  <si>
    <t>Transit Tax</t>
  </si>
  <si>
    <t>Transit Sales Tax</t>
  </si>
  <si>
    <t>Transit Use Tax</t>
  </si>
  <si>
    <t>Olmsted County Transit Tax</t>
  </si>
  <si>
    <t>Rice County Transit Tax</t>
  </si>
  <si>
    <t>Wadena County Transit Tax</t>
  </si>
  <si>
    <t>Beltrami County Transit Tax</t>
  </si>
  <si>
    <t>Becker County Transit Tax</t>
  </si>
  <si>
    <t>Douglas County Transit Tax</t>
  </si>
  <si>
    <t>Authorization ran out (Sept 2014)</t>
  </si>
  <si>
    <t>Todd County Transit Tax</t>
  </si>
  <si>
    <t>Fillmore County Transit Tax</t>
  </si>
  <si>
    <t>Carlton County Transit Tax</t>
  </si>
  <si>
    <t>St. Louis County Transit Tax</t>
  </si>
  <si>
    <t>Steele County Transit Tax</t>
  </si>
  <si>
    <t>Metro Area Counties</t>
  </si>
  <si>
    <t>General Sales &amp; Use</t>
  </si>
  <si>
    <t>Selective Taxes</t>
  </si>
  <si>
    <t>Hubbard County Transit Tax</t>
  </si>
  <si>
    <t>Scott County Transit Tax</t>
  </si>
  <si>
    <t>Lyon County Transit Tax</t>
  </si>
  <si>
    <t>Proctor Food &amp; Bev 1%</t>
  </si>
  <si>
    <t>Effective: 2/1/1987</t>
  </si>
  <si>
    <t>Effective: 10/1/1969</t>
  </si>
  <si>
    <t>Effective: 9/1/1993</t>
  </si>
  <si>
    <t>Effective: 1/1/2000</t>
  </si>
  <si>
    <t>Effective: 4/1/2004</t>
  </si>
  <si>
    <t>Effective: 1/1/2016</t>
  </si>
  <si>
    <t>Effective: 9/1/1971</t>
  </si>
  <si>
    <t>Effective 4/1/2010</t>
  </si>
  <si>
    <t>Effective 2/1/1987</t>
  </si>
  <si>
    <t>Effective 4/1/1992</t>
  </si>
  <si>
    <t>Effective 1/1/2000</t>
  </si>
  <si>
    <t>Effective 4/1/2009</t>
  </si>
  <si>
    <t>Effective 4/1/2013</t>
  </si>
  <si>
    <t>Effective 4/1/2000</t>
  </si>
  <si>
    <t>Effective 4/1/2015</t>
  </si>
  <si>
    <t>Effective 4/1/2001</t>
  </si>
  <si>
    <t>Effective 1/1/2003</t>
  </si>
  <si>
    <t>Effective 1/1/2006</t>
  </si>
  <si>
    <t>Effective 4/1/2006</t>
  </si>
  <si>
    <t>Effective 10/1/2006</t>
  </si>
  <si>
    <t>Effective 1/1/2007</t>
  </si>
  <si>
    <t>Effective 4/1/2007</t>
  </si>
  <si>
    <t>Effective 4/1/2007-6/30/2011</t>
  </si>
  <si>
    <t>Effective 10/1/2008</t>
  </si>
  <si>
    <t>Effective 4/1/2011</t>
  </si>
  <si>
    <t>Effective 7/1/2011</t>
  </si>
  <si>
    <t>Effective 1/1/2012</t>
  </si>
  <si>
    <t>Effective 7/1/2013</t>
  </si>
  <si>
    <t>Effective 1/1/2014</t>
  </si>
  <si>
    <t>Effective 4/1/2014</t>
  </si>
  <si>
    <t>Effective 7/1/2014</t>
  </si>
  <si>
    <t>Effective 10/1/2014</t>
  </si>
  <si>
    <t>Effective 1/1/2015</t>
  </si>
  <si>
    <t>Effective 7/1/2015</t>
  </si>
  <si>
    <t>Effective 10/1/2015</t>
  </si>
  <si>
    <t>Effective 1/1/2016</t>
  </si>
  <si>
    <t>Freeborn County Transit Tax</t>
  </si>
  <si>
    <t>Otter Tail County Transit Tax</t>
  </si>
  <si>
    <t>Blue Earth County Transit Tax</t>
  </si>
  <si>
    <t>Effective 4/1/2016</t>
  </si>
  <si>
    <t>Brown County Transit Tax</t>
  </si>
  <si>
    <t>Cass County Transit Tax</t>
  </si>
  <si>
    <t>Chisago County Transit Tax</t>
  </si>
  <si>
    <t>Crow Wing County Transit Tax</t>
  </si>
  <si>
    <t>Wabasha County Transit Tax</t>
  </si>
  <si>
    <t>Blue Earth</t>
  </si>
  <si>
    <t>Otter Tail</t>
  </si>
  <si>
    <t>Freeborn</t>
  </si>
  <si>
    <t>Scott</t>
  </si>
  <si>
    <t>Lyon</t>
  </si>
  <si>
    <t>Hubbard</t>
  </si>
  <si>
    <t xml:space="preserve">Steele </t>
  </si>
  <si>
    <t>St. Louis</t>
  </si>
  <si>
    <t>Carlton</t>
  </si>
  <si>
    <t>Fillmore</t>
  </si>
  <si>
    <t>Todd</t>
  </si>
  <si>
    <t>Douglas</t>
  </si>
  <si>
    <t>Becker</t>
  </si>
  <si>
    <t>Beltrami</t>
  </si>
  <si>
    <t>Wadena</t>
  </si>
  <si>
    <t>Rice</t>
  </si>
  <si>
    <t>Olmsted</t>
  </si>
  <si>
    <t>Metro Area</t>
  </si>
  <si>
    <t>Brown</t>
  </si>
  <si>
    <t>Cass</t>
  </si>
  <si>
    <t>Chisago</t>
  </si>
  <si>
    <t>Crow Wing</t>
  </si>
  <si>
    <t>Wabasha</t>
  </si>
  <si>
    <t>Minneapolis Refunds</t>
  </si>
  <si>
    <t>St. Paul Refunds</t>
  </si>
  <si>
    <t>Rochester Refunds</t>
  </si>
  <si>
    <t>Cook Cty Refunds</t>
  </si>
  <si>
    <t>St. Cloud Refunds</t>
  </si>
  <si>
    <t>Mankato Refunds</t>
  </si>
  <si>
    <t>Hermantown Refunds</t>
  </si>
  <si>
    <t>Willmar Refunds</t>
  </si>
  <si>
    <t>Two Harbors Refunds</t>
  </si>
  <si>
    <t>Proctor Refunds</t>
  </si>
  <si>
    <t>New Ulm Refunds</t>
  </si>
  <si>
    <t>Bemidji Refunds</t>
  </si>
  <si>
    <t>Duluth Refunds</t>
  </si>
  <si>
    <t>Albert Lea Refunds</t>
  </si>
  <si>
    <t>Baxter Refunds</t>
  </si>
  <si>
    <t>Austin Refunds</t>
  </si>
  <si>
    <t>Brainerd Refunds</t>
  </si>
  <si>
    <t>Owatonna Refunds</t>
  </si>
  <si>
    <t>North Mankato Refunds</t>
  </si>
  <si>
    <t>Clearwater Refunds</t>
  </si>
  <si>
    <t>Worthington Refunds</t>
  </si>
  <si>
    <t>Fergus Falls Refunds</t>
  </si>
  <si>
    <t>Hutchinson Refunds</t>
  </si>
  <si>
    <t>Lanesboro Refunds</t>
  </si>
  <si>
    <t>Cloquet Refunds</t>
  </si>
  <si>
    <t>Marshall Refunds</t>
  </si>
  <si>
    <t>Medford Refunds</t>
  </si>
  <si>
    <t>Hennepin Cty Refunds</t>
  </si>
  <si>
    <t>Transit Refunds</t>
  </si>
  <si>
    <t>Tax Ended Dec. 31, 2016</t>
  </si>
  <si>
    <t>Cook County Transit Tax</t>
  </si>
  <si>
    <t>Effective 1/1/2017</t>
  </si>
  <si>
    <t>Mille Lacs County Transit Tax</t>
  </si>
  <si>
    <t>Pine County Transit Tax</t>
  </si>
  <si>
    <t>Winona County Transit Tax</t>
  </si>
  <si>
    <t>Effective 4/1/2017</t>
  </si>
  <si>
    <t>Mille Lacs</t>
  </si>
  <si>
    <t>Pine</t>
  </si>
  <si>
    <t>Lake</t>
  </si>
  <si>
    <t>Lake County Transit Tax</t>
  </si>
  <si>
    <t>Anoka County Transit Tax</t>
  </si>
  <si>
    <t>Effective 10/1/2017</t>
  </si>
  <si>
    <t>Anoka</t>
  </si>
  <si>
    <t>Hennepin County Transit Tax</t>
  </si>
  <si>
    <t>Ramsey County Transit Tax</t>
  </si>
  <si>
    <t>Tax ends 9/30/2017</t>
  </si>
  <si>
    <t>rate increase to 1% on 10/1/2017</t>
  </si>
  <si>
    <t>Effective 7/1/2017</t>
  </si>
  <si>
    <t>Ramsey</t>
  </si>
  <si>
    <t>Dakota County Transit Tax</t>
  </si>
  <si>
    <t>Increased to 0.5% on July 1, 2017</t>
  </si>
  <si>
    <t>Washington County Transit Tax</t>
  </si>
  <si>
    <t>Carver County Transit Tax</t>
  </si>
  <si>
    <t>Wright County Transit Tax</t>
  </si>
  <si>
    <t>Moose Lake Sales</t>
  </si>
  <si>
    <t>Moose Lake Use</t>
  </si>
  <si>
    <t>Moose Lake Refunds</t>
  </si>
  <si>
    <t>Moose Lake</t>
  </si>
  <si>
    <t>Dakota</t>
  </si>
  <si>
    <t>Washington</t>
  </si>
  <si>
    <t>Carver</t>
  </si>
  <si>
    <t>Clay</t>
  </si>
  <si>
    <t>Wright</t>
  </si>
  <si>
    <t>Fairmont Sales</t>
  </si>
  <si>
    <t>Fairmont Use</t>
  </si>
  <si>
    <t>Fairmont Refunds</t>
  </si>
  <si>
    <t>New London Sales</t>
  </si>
  <si>
    <t>New London Use</t>
  </si>
  <si>
    <t>New London Refunds</t>
  </si>
  <si>
    <t>Spicer Refunds</t>
  </si>
  <si>
    <t>Spicer Use</t>
  </si>
  <si>
    <t>Spicer Sales</t>
  </si>
  <si>
    <t>Fairmont</t>
  </si>
  <si>
    <t>New London</t>
  </si>
  <si>
    <t>Spicer</t>
  </si>
  <si>
    <t>Effective 7/1/2008 - 9/30/2017</t>
  </si>
  <si>
    <t>Polk County Transit Tax</t>
  </si>
  <si>
    <t>Effective 1/1/2018</t>
  </si>
  <si>
    <t>Mower County Transit Tax</t>
  </si>
  <si>
    <t>Nicollet County Transit Tax</t>
  </si>
  <si>
    <t>Stearns County Transit Tax</t>
  </si>
  <si>
    <t>Morrison County Transit Tax</t>
  </si>
  <si>
    <t>Polk</t>
  </si>
  <si>
    <t>Mower</t>
  </si>
  <si>
    <t>Nicollet</t>
  </si>
  <si>
    <t>Stearns</t>
  </si>
  <si>
    <t>Morrison</t>
  </si>
  <si>
    <t>Walker Sales</t>
  </si>
  <si>
    <t>Walker Use</t>
  </si>
  <si>
    <t>Walker Refunds</t>
  </si>
  <si>
    <t>East Grand Forks Sales</t>
  </si>
  <si>
    <t>East Grand Forks Use</t>
  </si>
  <si>
    <t>East Grand Forks Refunds</t>
  </si>
  <si>
    <t>Garrison, Kathio, West Mille Lacs Sanitary District Tax</t>
  </si>
  <si>
    <t>GKWMLL Sales</t>
  </si>
  <si>
    <t>GKWMLL Use</t>
  </si>
  <si>
    <t>GKWMLL Refunds</t>
  </si>
  <si>
    <t>Walker</t>
  </si>
  <si>
    <t>East</t>
  </si>
  <si>
    <t>Grand Forks</t>
  </si>
  <si>
    <t>GKWMLL</t>
  </si>
  <si>
    <t>Sanitary</t>
  </si>
  <si>
    <t>Kandiyohi County Transit Tax</t>
  </si>
  <si>
    <t>Effective 4/1/2018</t>
  </si>
  <si>
    <t>Kandiyohi</t>
  </si>
  <si>
    <t>County Transit Totals</t>
  </si>
  <si>
    <t>City and non-transit county Totals</t>
  </si>
  <si>
    <t>Totals for Handbook</t>
  </si>
  <si>
    <t>Tax ends 10/1/18</t>
  </si>
  <si>
    <t>Goodhue County Transit Tax</t>
  </si>
  <si>
    <t>Effective 1/1/2019</t>
  </si>
  <si>
    <t>Sherburne County Transit Tax</t>
  </si>
  <si>
    <t>Dodge County Transit Tax</t>
  </si>
  <si>
    <t>Goodhue</t>
  </si>
  <si>
    <t>Sherburne</t>
  </si>
  <si>
    <t>Dodge</t>
  </si>
  <si>
    <t>Redwood County Transit Tax</t>
  </si>
  <si>
    <t>Effective 4/1/2019</t>
  </si>
  <si>
    <t>Redwood</t>
  </si>
  <si>
    <t>Waseca County Transit Tax</t>
  </si>
  <si>
    <t>Waseca</t>
  </si>
  <si>
    <t>Clay County Tax</t>
  </si>
  <si>
    <t>Isanti County Transit Tax</t>
  </si>
  <si>
    <t>Effective 7/1/2019</t>
  </si>
  <si>
    <t>Isanti</t>
  </si>
  <si>
    <t>Effective: 10/1/2019</t>
  </si>
  <si>
    <t>Effective: 10/1/19</t>
  </si>
  <si>
    <t>Effective 10/1/2019</t>
  </si>
  <si>
    <t>Detroit Lakes Sales</t>
  </si>
  <si>
    <t>Benton County Transit Tax</t>
  </si>
  <si>
    <t>Roger Sales Tax</t>
  </si>
  <si>
    <t>Rogers Use Tax</t>
  </si>
  <si>
    <t xml:space="preserve">Rogers Refunds </t>
  </si>
  <si>
    <t>Rogers Vehicle Excise</t>
  </si>
  <si>
    <t>International Fall Sales</t>
  </si>
  <si>
    <t>International Falls Use</t>
  </si>
  <si>
    <t>International Falls Refunds</t>
  </si>
  <si>
    <t>Excelsior Sales</t>
  </si>
  <si>
    <t>Excelsior Use</t>
  </si>
  <si>
    <t>Excelsior Refunds</t>
  </si>
  <si>
    <t>Elk River Sales</t>
  </si>
  <si>
    <t>Elk River Use</t>
  </si>
  <si>
    <t>Elk River Refunds</t>
  </si>
  <si>
    <t>Cambridge Sales</t>
  </si>
  <si>
    <t>Cambridge Use</t>
  </si>
  <si>
    <t>Cambridge Refunds</t>
  </si>
  <si>
    <t>Blue Earth Sales</t>
  </si>
  <si>
    <t>Blue Earth Use</t>
  </si>
  <si>
    <t>Blue Earth Refunds</t>
  </si>
  <si>
    <t>Avon Sales</t>
  </si>
  <si>
    <t>Avon Use</t>
  </si>
  <si>
    <t>Avon Refunds</t>
  </si>
  <si>
    <t>Benton</t>
  </si>
  <si>
    <t>Avon</t>
  </si>
  <si>
    <t>Cambridge</t>
  </si>
  <si>
    <t>Elk River</t>
  </si>
  <si>
    <t>Excelsior</t>
  </si>
  <si>
    <t>International</t>
  </si>
  <si>
    <t>Rogers</t>
  </si>
  <si>
    <t>Clay Sales</t>
  </si>
  <si>
    <t>Clay Use</t>
  </si>
  <si>
    <t>Clay Refunds</t>
  </si>
  <si>
    <t>Detroit Lakes Use</t>
  </si>
  <si>
    <t>Detroit Lakes Refunds</t>
  </si>
  <si>
    <t>West St. Paul Sales Tax</t>
  </si>
  <si>
    <t>West St. Paul Use Tax</t>
  </si>
  <si>
    <t xml:space="preserve">West St. Paul Refunds </t>
  </si>
  <si>
    <t>Effective 1/1/2020</t>
  </si>
  <si>
    <t>Sauk Centre Sales Tax</t>
  </si>
  <si>
    <t>Sauk Centre Use Tax</t>
  </si>
  <si>
    <t xml:space="preserve">Sauk Centre Refunds </t>
  </si>
  <si>
    <t>Sauk Centre Vehicle Excise</t>
  </si>
  <si>
    <t>McLeod County Transit Tax</t>
  </si>
  <si>
    <t>Kanabec County Transit Tax</t>
  </si>
  <si>
    <t>Sauk Centre</t>
  </si>
  <si>
    <t>West St. Paul</t>
  </si>
  <si>
    <t>McLeod</t>
  </si>
  <si>
    <t>Kanabec</t>
  </si>
  <si>
    <t>Glenwood Sales Tax</t>
  </si>
  <si>
    <t>Glenwood Use Tax</t>
  </si>
  <si>
    <t xml:space="preserve">Glenwood Refunds </t>
  </si>
  <si>
    <t>Perham Sales Tax</t>
  </si>
  <si>
    <t>Perham Use Tax</t>
  </si>
  <si>
    <t xml:space="preserve">Perham Refunds </t>
  </si>
  <si>
    <t>Virginia Sales Tax</t>
  </si>
  <si>
    <t>Virginia Use Tax</t>
  </si>
  <si>
    <t xml:space="preserve">Virginia Refunds </t>
  </si>
  <si>
    <t>Scanlon Sales Tax</t>
  </si>
  <si>
    <t>Scanlon Use Tax</t>
  </si>
  <si>
    <t xml:space="preserve">Scanlon Refunds </t>
  </si>
  <si>
    <t>Glenwood</t>
  </si>
  <si>
    <t>Perham</t>
  </si>
  <si>
    <t>Scanlon</t>
  </si>
  <si>
    <t>Virginia</t>
  </si>
  <si>
    <t>Tax reimposed 1/1/20</t>
  </si>
  <si>
    <t>Effective 4/1/2020</t>
  </si>
  <si>
    <t>North Mankato Food &amp; Bev 0.5%</t>
  </si>
  <si>
    <t>*Tax ended 6/30/2020</t>
  </si>
  <si>
    <t>Two Harbors Lodging</t>
  </si>
  <si>
    <t>Effective 10/1/2020</t>
  </si>
  <si>
    <t>Lake Co Lodging</t>
  </si>
  <si>
    <t>Tax ended Oct 1, 2020</t>
  </si>
  <si>
    <t>Lake County</t>
  </si>
  <si>
    <t>Nobles County Transit Tax</t>
  </si>
  <si>
    <t>Effective 1/1/2021</t>
  </si>
  <si>
    <t>Nobles</t>
  </si>
  <si>
    <t>Lake of the Woods Lodging Tax</t>
  </si>
  <si>
    <t xml:space="preserve">Lake of the </t>
  </si>
  <si>
    <t>Woods County</t>
  </si>
  <si>
    <t>Le Sueur County Transit Tax</t>
  </si>
  <si>
    <t>Effective 4/1/2021</t>
  </si>
  <si>
    <t>Le Sueur</t>
  </si>
  <si>
    <t>Mankato Lodging</t>
  </si>
  <si>
    <t>Effective 10/1/2021</t>
  </si>
  <si>
    <t>Rate increased to 0.5% in Oct 2021</t>
  </si>
  <si>
    <t>Roseau County Transit Tax</t>
  </si>
  <si>
    <t>Effective 1/1/2022</t>
  </si>
  <si>
    <t>Roseau</t>
  </si>
  <si>
    <t>Koochiching County Transit Tax</t>
  </si>
  <si>
    <t>Effective 4/1/2022</t>
  </si>
  <si>
    <t>Koochiching</t>
  </si>
  <si>
    <t>Effective 7/1/2022</t>
  </si>
  <si>
    <t>St. Peter</t>
  </si>
  <si>
    <t>Norman County Transit Tax</t>
  </si>
  <si>
    <t>St. Peter Sales</t>
  </si>
  <si>
    <t>St. Peter Use</t>
  </si>
  <si>
    <t>St. Peter Refunds</t>
  </si>
  <si>
    <t>Norman</t>
  </si>
  <si>
    <t>Calendar Year 2023</t>
  </si>
  <si>
    <t>Renville County Transit Tax</t>
  </si>
  <si>
    <t>Effective 1/1/2023</t>
  </si>
  <si>
    <t>Renville</t>
  </si>
  <si>
    <t>Itasca County</t>
  </si>
  <si>
    <t>Refunds</t>
  </si>
  <si>
    <t>Effective 4/1/2023</t>
  </si>
  <si>
    <t>Waite Park Sales</t>
  </si>
  <si>
    <t>Waite Park Use</t>
  </si>
  <si>
    <t>Waite Park Refunds</t>
  </si>
  <si>
    <t>Moorhead Sales</t>
  </si>
  <si>
    <t>Moorhead Use</t>
  </si>
  <si>
    <t>Moorhead Refunds</t>
  </si>
  <si>
    <t>Grand Rapids Sales</t>
  </si>
  <si>
    <t>Grand Rapids Use</t>
  </si>
  <si>
    <t>Grand Rapids Refunds</t>
  </si>
  <si>
    <t>Maple Grove Sales</t>
  </si>
  <si>
    <t>Maple Grove Use</t>
  </si>
  <si>
    <t>Maple Grove Refunds</t>
  </si>
  <si>
    <t>Waite Park</t>
  </si>
  <si>
    <t>Moorhead</t>
  </si>
  <si>
    <t>Maple Grove</t>
  </si>
  <si>
    <t>Grand</t>
  </si>
  <si>
    <t>Rapids</t>
  </si>
  <si>
    <t>Itasca</t>
  </si>
  <si>
    <t>Edina Sales</t>
  </si>
  <si>
    <t>Edina Use</t>
  </si>
  <si>
    <t>Edina Refunds</t>
  </si>
  <si>
    <t>Woodbury Lodging Tax</t>
  </si>
  <si>
    <t>Warren Sales</t>
  </si>
  <si>
    <t>Warren Use</t>
  </si>
  <si>
    <t>Warren Refunds</t>
  </si>
  <si>
    <t>Oakdale Sales</t>
  </si>
  <si>
    <t>Oakdale Use</t>
  </si>
  <si>
    <t>Oakdale Refunds</t>
  </si>
  <si>
    <t>Staples Sales</t>
  </si>
  <si>
    <t>Staples Use</t>
  </si>
  <si>
    <t>Staples Refunds</t>
  </si>
  <si>
    <t>Edina</t>
  </si>
  <si>
    <t>Woodbury</t>
  </si>
  <si>
    <t>Warren</t>
  </si>
  <si>
    <t>Staples</t>
  </si>
  <si>
    <t>Oakdale</t>
  </si>
  <si>
    <t>Carlton County Tax</t>
  </si>
  <si>
    <t>tax ended 6/30/2023</t>
  </si>
  <si>
    <t>Litchfield Sales</t>
  </si>
  <si>
    <t>Litchfield Use</t>
  </si>
  <si>
    <t>Litchfield Refunds</t>
  </si>
  <si>
    <t>Effective 7/1/2023</t>
  </si>
  <si>
    <t>Litchfield</t>
  </si>
  <si>
    <t>Metro Area Transportation</t>
  </si>
  <si>
    <t>Effective 10/1/2023</t>
  </si>
  <si>
    <t>Metro Area Housing</t>
  </si>
  <si>
    <t>Metro</t>
  </si>
  <si>
    <t>Transpo</t>
  </si>
  <si>
    <t>Housing</t>
  </si>
  <si>
    <t>tax restarts 10/1/24 at 0.5%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</si>
</sst>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  <numFmt numFmtId="167" formatCode="&quot;$&quot;#,##0"/>
    <numFmt numFmtId="168" formatCode="0.000%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i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8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43" fontId="0" fillId="0" borderId="0" xfId="1" applyFont="1"/>
    <xf numFmtId="4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0" applyNumberFormat="1"/>
    <xf numFmtId="43" fontId="0" fillId="0" borderId="1" xfId="0" applyNumberFormat="1" applyBorder="1"/>
    <xf numFmtId="165" fontId="0" fillId="0" borderId="0" xfId="0" applyNumberFormat="1"/>
    <xf numFmtId="165" fontId="0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7" fontId="0" fillId="0" borderId="0" xfId="1" applyNumberFormat="1" applyFont="1"/>
    <xf numFmtId="166" fontId="2" fillId="0" borderId="0" xfId="0" applyNumberFormat="1" applyFont="1" applyAlignment="1">
      <alignment horizontal="center"/>
    </xf>
    <xf numFmtId="4" fontId="1" fillId="0" borderId="0" xfId="1" applyNumberFormat="1"/>
    <xf numFmtId="43" fontId="1" fillId="0" borderId="0" xfId="1"/>
    <xf numFmtId="43" fontId="1" fillId="0" borderId="1" xfId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165" fontId="7" fillId="0" borderId="0" xfId="0" applyNumberFormat="1" applyFont="1"/>
    <xf numFmtId="0" fontId="6" fillId="0" borderId="0" xfId="0" applyFont="1" applyAlignment="1">
      <alignment horizontal="left"/>
    </xf>
    <xf numFmtId="43" fontId="1" fillId="0" borderId="0" xfId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1" fillId="0" borderId="1" xfId="1" applyNumberFormat="1" applyBorder="1"/>
    <xf numFmtId="1" fontId="5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1" xfId="0" applyNumberFormat="1" applyBorder="1"/>
    <xf numFmtId="5" fontId="0" fillId="0" borderId="0" xfId="0" applyNumberFormat="1"/>
    <xf numFmtId="3" fontId="0" fillId="0" borderId="0" xfId="0" applyNumberFormat="1"/>
    <xf numFmtId="3" fontId="1" fillId="0" borderId="1" xfId="1" applyNumberFormat="1" applyBorder="1"/>
    <xf numFmtId="167" fontId="0" fillId="0" borderId="0" xfId="0" applyNumberFormat="1"/>
    <xf numFmtId="1" fontId="5" fillId="0" borderId="0" xfId="0" applyNumberFormat="1" applyFont="1" applyAlignment="1">
      <alignment horizontal="center"/>
    </xf>
    <xf numFmtId="5" fontId="0" fillId="0" borderId="0" xfId="1" applyNumberFormat="1" applyFont="1"/>
    <xf numFmtId="3" fontId="0" fillId="0" borderId="0" xfId="1" applyNumberFormat="1" applyFont="1"/>
    <xf numFmtId="3" fontId="0" fillId="0" borderId="1" xfId="0" applyNumberFormat="1" applyBorder="1"/>
    <xf numFmtId="0" fontId="7" fillId="0" borderId="0" xfId="0" applyFont="1" applyAlignment="1">
      <alignment horizontal="right" vertical="center"/>
    </xf>
    <xf numFmtId="43" fontId="0" fillId="0" borderId="1" xfId="0" applyNumberFormat="1" applyBorder="1" applyAlignment="1">
      <alignment vertical="center"/>
    </xf>
    <xf numFmtId="43" fontId="1" fillId="0" borderId="1" xfId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Border="1"/>
    <xf numFmtId="37" fontId="0" fillId="0" borderId="0" xfId="0" applyNumberFormat="1"/>
    <xf numFmtId="37" fontId="1" fillId="0" borderId="1" xfId="1" applyNumberFormat="1" applyBorder="1"/>
    <xf numFmtId="167" fontId="1" fillId="0" borderId="1" xfId="1" applyNumberFormat="1" applyBorder="1"/>
    <xf numFmtId="5" fontId="1" fillId="0" borderId="0" xfId="1" applyNumberFormat="1"/>
    <xf numFmtId="5" fontId="1" fillId="0" borderId="1" xfId="1" applyNumberFormat="1" applyBorder="1"/>
    <xf numFmtId="37" fontId="0" fillId="0" borderId="0" xfId="1" applyNumberFormat="1" applyFont="1"/>
    <xf numFmtId="37" fontId="0" fillId="0" borderId="1" xfId="1" applyNumberFormat="1" applyFont="1" applyBorder="1"/>
    <xf numFmtId="37" fontId="0" fillId="0" borderId="1" xfId="0" applyNumberFormat="1" applyBorder="1"/>
    <xf numFmtId="0" fontId="0" fillId="0" borderId="1" xfId="0" applyBorder="1"/>
    <xf numFmtId="3" fontId="0" fillId="0" borderId="1" xfId="1" applyNumberFormat="1" applyFont="1" applyBorder="1"/>
    <xf numFmtId="167" fontId="0" fillId="0" borderId="0" xfId="1" applyNumberFormat="1" applyFont="1"/>
    <xf numFmtId="1" fontId="0" fillId="0" borderId="0" xfId="0" applyNumberFormat="1"/>
    <xf numFmtId="164" fontId="1" fillId="0" borderId="0" xfId="1" applyNumberFormat="1"/>
    <xf numFmtId="164" fontId="7" fillId="0" borderId="0" xfId="0" applyNumberFormat="1" applyFont="1"/>
    <xf numFmtId="3" fontId="7" fillId="0" borderId="0" xfId="1" applyNumberFormat="1" applyFont="1"/>
    <xf numFmtId="4" fontId="7" fillId="0" borderId="0" xfId="0" applyNumberFormat="1" applyFont="1"/>
    <xf numFmtId="4" fontId="7" fillId="0" borderId="0" xfId="1" applyNumberFormat="1" applyFont="1"/>
    <xf numFmtId="43" fontId="7" fillId="0" borderId="0" xfId="0" applyNumberFormat="1" applyFont="1"/>
    <xf numFmtId="43" fontId="7" fillId="0" borderId="0" xfId="1" applyFont="1"/>
    <xf numFmtId="7" fontId="7" fillId="0" borderId="0" xfId="1" applyNumberFormat="1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3" fontId="10" fillId="0" borderId="0" xfId="0" applyNumberFormat="1" applyFont="1"/>
    <xf numFmtId="3" fontId="2" fillId="0" borderId="2" xfId="0" applyNumberFormat="1" applyFont="1" applyBorder="1"/>
    <xf numFmtId="3" fontId="1" fillId="0" borderId="6" xfId="0" applyNumberFormat="1" applyFont="1" applyBorder="1"/>
    <xf numFmtId="3" fontId="1" fillId="0" borderId="0" xfId="0" applyNumberFormat="1" applyFont="1" applyBorder="1"/>
    <xf numFmtId="3" fontId="1" fillId="0" borderId="8" xfId="0" applyNumberFormat="1" applyFont="1" applyBorder="1"/>
    <xf numFmtId="167" fontId="0" fillId="0" borderId="1" xfId="1" applyNumberFormat="1" applyFont="1" applyBorder="1"/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3" fontId="7" fillId="0" borderId="0" xfId="0" applyNumberFormat="1" applyFont="1"/>
    <xf numFmtId="167" fontId="7" fillId="0" borderId="0" xfId="0" applyNumberFormat="1" applyFont="1"/>
    <xf numFmtId="0" fontId="11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3" fontId="1" fillId="0" borderId="6" xfId="0" applyNumberFormat="1" applyFont="1" applyFill="1" applyBorder="1"/>
    <xf numFmtId="3" fontId="1" fillId="0" borderId="2" xfId="0" applyNumberFormat="1" applyFont="1" applyFill="1" applyBorder="1"/>
    <xf numFmtId="4" fontId="4" fillId="0" borderId="0" xfId="1" applyNumberFormat="1" applyFont="1" applyAlignment="1">
      <alignment horizontal="center"/>
    </xf>
    <xf numFmtId="0" fontId="1" fillId="0" borderId="0" xfId="0" applyFont="1"/>
    <xf numFmtId="37" fontId="1" fillId="0" borderId="1" xfId="0" applyNumberFormat="1" applyFont="1" applyBorder="1"/>
    <xf numFmtId="5" fontId="1" fillId="0" borderId="0" xfId="0" applyNumberFormat="1" applyFont="1"/>
    <xf numFmtId="0" fontId="12" fillId="0" borderId="0" xfId="0" applyFont="1" applyAlignment="1">
      <alignment horizontal="center"/>
    </xf>
    <xf numFmtId="43" fontId="4" fillId="0" borderId="0" xfId="0" applyNumberFormat="1" applyFont="1"/>
    <xf numFmtId="6" fontId="2" fillId="0" borderId="0" xfId="0" applyNumberFormat="1" applyFont="1" applyAlignment="1">
      <alignment horizontal="center"/>
    </xf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164" fontId="0" fillId="0" borderId="0" xfId="0" applyNumberFormat="1" applyFont="1"/>
    <xf numFmtId="0" fontId="1" fillId="0" borderId="0" xfId="0" applyFont="1" applyAlignment="1">
      <alignment horizontal="center"/>
    </xf>
    <xf numFmtId="37" fontId="1" fillId="0" borderId="0" xfId="0" applyNumberFormat="1" applyFont="1"/>
    <xf numFmtId="37" fontId="1" fillId="0" borderId="0" xfId="0" applyNumberFormat="1" applyFont="1" applyFill="1"/>
    <xf numFmtId="164" fontId="0" fillId="0" borderId="0" xfId="0" applyNumberFormat="1" applyFont="1" applyFill="1"/>
    <xf numFmtId="164" fontId="1" fillId="0" borderId="0" xfId="0" applyNumberFormat="1" applyFont="1"/>
    <xf numFmtId="164" fontId="1" fillId="0" borderId="1" xfId="0" applyNumberFormat="1" applyFont="1" applyBorder="1"/>
    <xf numFmtId="0" fontId="6" fillId="0" borderId="0" xfId="0" applyFont="1" applyFill="1" applyAlignment="1">
      <alignment horizontal="center"/>
    </xf>
    <xf numFmtId="3" fontId="7" fillId="0" borderId="0" xfId="1" applyNumberFormat="1" applyFont="1" applyFill="1"/>
    <xf numFmtId="3" fontId="7" fillId="0" borderId="0" xfId="0" applyNumberFormat="1" applyFont="1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37" fontId="0" fillId="0" borderId="0" xfId="0" applyNumberFormat="1" applyFill="1"/>
    <xf numFmtId="3" fontId="0" fillId="0" borderId="0" xfId="0" applyNumberFormat="1" applyFill="1"/>
    <xf numFmtId="164" fontId="1" fillId="0" borderId="0" xfId="0" applyNumberFormat="1" applyFont="1" applyFill="1"/>
    <xf numFmtId="164" fontId="0" fillId="0" borderId="0" xfId="1" applyNumberFormat="1" applyFont="1" applyFill="1"/>
    <xf numFmtId="0" fontId="6" fillId="0" borderId="2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4" fontId="0" fillId="0" borderId="12" xfId="0" applyNumberFormat="1" applyBorder="1"/>
    <xf numFmtId="165" fontId="0" fillId="0" borderId="12" xfId="0" applyNumberFormat="1" applyBorder="1"/>
    <xf numFmtId="5" fontId="0" fillId="0" borderId="12" xfId="0" applyNumberFormat="1" applyBorder="1"/>
    <xf numFmtId="167" fontId="0" fillId="0" borderId="12" xfId="0" applyNumberFormat="1" applyBorder="1"/>
    <xf numFmtId="5" fontId="1" fillId="0" borderId="12" xfId="0" applyNumberFormat="1" applyFont="1" applyBorder="1"/>
    <xf numFmtId="3" fontId="2" fillId="0" borderId="14" xfId="0" applyNumberFormat="1" applyFont="1" applyBorder="1"/>
    <xf numFmtId="0" fontId="2" fillId="0" borderId="15" xfId="0" applyFont="1" applyBorder="1"/>
    <xf numFmtId="0" fontId="0" fillId="0" borderId="12" xfId="0" applyBorder="1"/>
    <xf numFmtId="0" fontId="0" fillId="0" borderId="16" xfId="0" applyBorder="1"/>
    <xf numFmtId="0" fontId="0" fillId="0" borderId="9" xfId="0" applyBorder="1"/>
    <xf numFmtId="0" fontId="0" fillId="0" borderId="0" xfId="0" applyBorder="1"/>
    <xf numFmtId="3" fontId="0" fillId="0" borderId="10" xfId="0" applyNumberFormat="1" applyBorder="1"/>
    <xf numFmtId="0" fontId="0" fillId="0" borderId="13" xfId="0" applyBorder="1"/>
    <xf numFmtId="0" fontId="0" fillId="0" borderId="17" xfId="0" applyBorder="1"/>
    <xf numFmtId="3" fontId="0" fillId="0" borderId="14" xfId="0" applyNumberFormat="1" applyBorder="1"/>
    <xf numFmtId="7" fontId="0" fillId="0" borderId="12" xfId="1" applyNumberFormat="1" applyFont="1" applyBorder="1"/>
    <xf numFmtId="5" fontId="0" fillId="0" borderId="12" xfId="1" applyNumberFormat="1" applyFont="1" applyBorder="1"/>
    <xf numFmtId="0" fontId="2" fillId="0" borderId="2" xfId="0" applyFont="1" applyBorder="1"/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11" xfId="0" applyNumberFormat="1" applyFont="1" applyFill="1" applyBorder="1"/>
    <xf numFmtId="164" fontId="1" fillId="0" borderId="0" xfId="1" applyNumberFormat="1" applyFont="1" applyFill="1"/>
    <xf numFmtId="9" fontId="6" fillId="0" borderId="0" xfId="4" applyFont="1" applyAlignment="1">
      <alignment horizontal="center"/>
    </xf>
    <xf numFmtId="166" fontId="6" fillId="0" borderId="0" xfId="4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9" fontId="2" fillId="0" borderId="0" xfId="4" applyFont="1" applyAlignment="1">
      <alignment horizontal="center"/>
    </xf>
    <xf numFmtId="166" fontId="2" fillId="0" borderId="0" xfId="4" applyNumberFormat="1" applyFont="1" applyAlignment="1">
      <alignment horizontal="center"/>
    </xf>
    <xf numFmtId="10" fontId="2" fillId="0" borderId="0" xfId="4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NumberFormat="1" applyFont="1"/>
    <xf numFmtId="3" fontId="1" fillId="0" borderId="0" xfId="0" applyNumberFormat="1" applyFont="1"/>
    <xf numFmtId="164" fontId="1" fillId="0" borderId="1" xfId="1" applyNumberFormat="1" applyFont="1" applyBorder="1"/>
    <xf numFmtId="3" fontId="1" fillId="0" borderId="1" xfId="1" applyNumberFormat="1" applyFont="1" applyBorder="1"/>
    <xf numFmtId="3" fontId="1" fillId="0" borderId="1" xfId="0" applyNumberFormat="1" applyFont="1" applyBorder="1"/>
    <xf numFmtId="5" fontId="1" fillId="0" borderId="0" xfId="1" applyNumberFormat="1" applyFont="1"/>
    <xf numFmtId="167" fontId="1" fillId="0" borderId="0" xfId="0" applyNumberFormat="1" applyFont="1"/>
    <xf numFmtId="164" fontId="1" fillId="0" borderId="0" xfId="0" applyNumberFormat="1" applyFont="1" applyBorder="1"/>
    <xf numFmtId="3" fontId="1" fillId="0" borderId="0" xfId="1" applyNumberFormat="1" applyFont="1"/>
    <xf numFmtId="164" fontId="1" fillId="0" borderId="0" xfId="1" applyNumberFormat="1" applyFont="1" applyBorder="1"/>
    <xf numFmtId="3" fontId="1" fillId="0" borderId="0" xfId="1" applyNumberFormat="1" applyFont="1" applyBorder="1"/>
    <xf numFmtId="37" fontId="1" fillId="0" borderId="0" xfId="0" applyNumberFormat="1" applyFont="1" applyBorder="1"/>
    <xf numFmtId="167" fontId="1" fillId="0" borderId="0" xfId="1" applyNumberFormat="1" applyFont="1"/>
    <xf numFmtId="168" fontId="2" fillId="0" borderId="0" xfId="4" applyNumberFormat="1" applyFont="1" applyAlignment="1">
      <alignment horizontal="center"/>
    </xf>
    <xf numFmtId="37" fontId="1" fillId="0" borderId="0" xfId="1" applyNumberFormat="1" applyFont="1"/>
    <xf numFmtId="5" fontId="1" fillId="0" borderId="0" xfId="2" applyNumberFormat="1" applyFont="1"/>
    <xf numFmtId="164" fontId="0" fillId="0" borderId="1" xfId="0" applyNumberFormat="1" applyFont="1" applyBorder="1"/>
    <xf numFmtId="164" fontId="0" fillId="0" borderId="1" xfId="1" applyNumberFormat="1" applyFont="1" applyFill="1" applyBorder="1"/>
    <xf numFmtId="5" fontId="0" fillId="0" borderId="0" xfId="0" applyNumberFormat="1" applyBorder="1"/>
    <xf numFmtId="0" fontId="0" fillId="0" borderId="0" xfId="0" applyFont="1" applyFill="1" applyBorder="1"/>
    <xf numFmtId="16" fontId="16" fillId="0" borderId="0" xfId="0" applyNumberFormat="1" applyFont="1" applyAlignment="1">
      <alignment horizontal="center"/>
    </xf>
    <xf numFmtId="168" fontId="0" fillId="0" borderId="0" xfId="4" applyNumberFormat="1" applyFont="1"/>
    <xf numFmtId="166" fontId="0" fillId="0" borderId="0" xfId="4" applyNumberFormat="1" applyFont="1"/>
    <xf numFmtId="166" fontId="1" fillId="0" borderId="0" xfId="4" applyNumberFormat="1" applyFont="1"/>
    <xf numFmtId="166" fontId="2" fillId="0" borderId="0" xfId="0" quotePrefix="1" applyNumberFormat="1" applyFont="1" applyAlignment="1">
      <alignment horizontal="center"/>
    </xf>
    <xf numFmtId="9" fontId="0" fillId="0" borderId="0" xfId="4" applyFont="1"/>
    <xf numFmtId="9" fontId="0" fillId="0" borderId="0" xfId="4" applyNumberFormat="1" applyFont="1"/>
    <xf numFmtId="5" fontId="1" fillId="0" borderId="0" xfId="0" applyNumberFormat="1" applyFont="1" applyBorder="1"/>
    <xf numFmtId="6" fontId="2" fillId="0" borderId="0" xfId="0" applyNumberFormat="1" applyFont="1"/>
    <xf numFmtId="0" fontId="6" fillId="0" borderId="0" xfId="0" applyFont="1"/>
    <xf numFmtId="164" fontId="17" fillId="0" borderId="0" xfId="0" applyNumberFormat="1" applyFont="1"/>
    <xf numFmtId="164" fontId="0" fillId="0" borderId="0" xfId="1" applyNumberFormat="1" applyFont="1" applyFill="1" applyBorder="1"/>
    <xf numFmtId="164" fontId="0" fillId="0" borderId="0" xfId="0" applyNumberFormat="1" applyBorder="1"/>
    <xf numFmtId="164" fontId="1" fillId="0" borderId="12" xfId="0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37"/>
  <sheetViews>
    <sheetView zoomScaleNormal="100" workbookViewId="0">
      <pane xSplit="1" topLeftCell="S1" activePane="topRight" state="frozen"/>
      <selection pane="topRight" activeCell="V4" sqref="V4"/>
    </sheetView>
  </sheetViews>
  <sheetFormatPr defaultRowHeight="12.75" x14ac:dyDescent="0.2"/>
  <cols>
    <col min="1" max="1" width="16.28515625" style="25" bestFit="1" customWidth="1"/>
    <col min="2" max="5" width="11.7109375" bestFit="1" customWidth="1"/>
    <col min="6" max="7" width="11.140625" bestFit="1" customWidth="1"/>
    <col min="8" max="21" width="11.7109375" bestFit="1" customWidth="1"/>
  </cols>
  <sheetData>
    <row r="1" spans="1:21" x14ac:dyDescent="0.2">
      <c r="B1" s="25"/>
      <c r="C1" s="25"/>
      <c r="D1" s="25"/>
      <c r="E1" s="25"/>
      <c r="F1" s="25"/>
      <c r="G1" s="25"/>
      <c r="H1" s="25"/>
      <c r="I1" s="25"/>
      <c r="J1" s="25"/>
    </row>
    <row r="2" spans="1:21" x14ac:dyDescent="0.2">
      <c r="A2" s="24" t="s">
        <v>12</v>
      </c>
      <c r="B2" s="148">
        <v>5.0000000000000001E-3</v>
      </c>
      <c r="C2" s="94" t="s">
        <v>177</v>
      </c>
      <c r="D2" s="94"/>
      <c r="E2" s="94"/>
      <c r="F2" s="94"/>
      <c r="G2" s="5"/>
      <c r="H2" s="94"/>
      <c r="I2" s="94"/>
      <c r="J2" s="94"/>
      <c r="K2" s="94"/>
      <c r="L2" s="94"/>
      <c r="M2" s="94"/>
      <c r="N2" s="94"/>
    </row>
    <row r="3" spans="1:21" x14ac:dyDescent="0.2"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18">
        <v>2021</v>
      </c>
      <c r="T3" s="18">
        <v>2022</v>
      </c>
      <c r="U3" s="18">
        <v>2023</v>
      </c>
    </row>
    <row r="4" spans="1:21" x14ac:dyDescent="0.2">
      <c r="A4" s="26" t="s">
        <v>0</v>
      </c>
      <c r="B4" s="151">
        <v>2327880.12</v>
      </c>
      <c r="C4" s="151">
        <v>2580526.64</v>
      </c>
      <c r="D4" s="107">
        <v>2506590.02</v>
      </c>
      <c r="E4" s="107">
        <f>2581497.26-47</f>
        <v>2581450.2599999998</v>
      </c>
      <c r="F4" s="152">
        <f>2532659.15+1</f>
        <v>2532660.15</v>
      </c>
      <c r="G4" s="152">
        <v>2723768</v>
      </c>
      <c r="H4" s="104">
        <v>2301732</v>
      </c>
      <c r="I4" s="151">
        <v>2527168</v>
      </c>
      <c r="J4" s="151">
        <v>2608212</v>
      </c>
      <c r="K4" s="151">
        <v>2725902</v>
      </c>
      <c r="L4" s="151">
        <v>3074292</v>
      </c>
      <c r="M4" s="151">
        <v>3125722</v>
      </c>
      <c r="N4" s="151">
        <v>3129924</v>
      </c>
      <c r="O4" s="151">
        <v>3262441</v>
      </c>
      <c r="P4" s="151">
        <v>3060926</v>
      </c>
      <c r="Q4" s="151">
        <v>3245821</v>
      </c>
      <c r="R4" s="1">
        <v>3853340</v>
      </c>
      <c r="S4" s="1">
        <v>2844465</v>
      </c>
      <c r="T4" s="1">
        <v>3502468</v>
      </c>
      <c r="U4" s="1">
        <v>4129551</v>
      </c>
    </row>
    <row r="5" spans="1:21" x14ac:dyDescent="0.2">
      <c r="A5" s="26" t="s">
        <v>1</v>
      </c>
      <c r="B5" s="151">
        <v>2005954.86</v>
      </c>
      <c r="C5" s="151">
        <v>2085759.11</v>
      </c>
      <c r="D5" s="107">
        <v>1939843.27</v>
      </c>
      <c r="E5" s="107">
        <f>2089095.24-432</f>
        <v>2088663.24</v>
      </c>
      <c r="F5" s="152">
        <f>2140039.51+15</f>
        <v>2140054.5099999998</v>
      </c>
      <c r="G5" s="152">
        <v>2259913</v>
      </c>
      <c r="H5" s="104">
        <v>1893322</v>
      </c>
      <c r="I5" s="104">
        <v>2115498</v>
      </c>
      <c r="J5" s="104">
        <v>2101283</v>
      </c>
      <c r="K5" s="104">
        <v>2230741</v>
      </c>
      <c r="L5" s="104">
        <v>2378513</v>
      </c>
      <c r="M5" s="104">
        <v>2603872</v>
      </c>
      <c r="N5" s="104">
        <v>2458372</v>
      </c>
      <c r="O5" s="104">
        <v>2499787</v>
      </c>
      <c r="P5" s="104">
        <v>2766396</v>
      </c>
      <c r="Q5" s="104">
        <v>2666398</v>
      </c>
      <c r="R5" s="1">
        <v>2957945</v>
      </c>
      <c r="S5" s="1">
        <v>2156979</v>
      </c>
      <c r="T5" s="1">
        <v>2910204</v>
      </c>
      <c r="U5" s="1">
        <v>3285348</v>
      </c>
    </row>
    <row r="6" spans="1:21" x14ac:dyDescent="0.2">
      <c r="A6" s="26" t="s">
        <v>2</v>
      </c>
      <c r="B6" s="151">
        <v>1780700.4</v>
      </c>
      <c r="C6" s="151">
        <v>1942425.12</v>
      </c>
      <c r="D6" s="107">
        <v>1829655.48</v>
      </c>
      <c r="E6" s="107">
        <f>2191305.79+290</f>
        <v>2191595.79</v>
      </c>
      <c r="F6" s="152">
        <f>2056351.71+69</f>
        <v>2056420.71</v>
      </c>
      <c r="G6" s="152">
        <v>1952198</v>
      </c>
      <c r="H6" s="104">
        <v>1700643</v>
      </c>
      <c r="I6" s="104">
        <v>2133867</v>
      </c>
      <c r="J6" s="104">
        <v>1947559</v>
      </c>
      <c r="K6" s="104">
        <v>2058358</v>
      </c>
      <c r="L6" s="104">
        <v>2069834</v>
      </c>
      <c r="M6" s="104">
        <v>2296261</v>
      </c>
      <c r="N6" s="104">
        <v>2519349</v>
      </c>
      <c r="O6" s="104">
        <v>2418394</v>
      </c>
      <c r="P6" s="104">
        <v>2649160</v>
      </c>
      <c r="Q6" s="104">
        <v>2632582</v>
      </c>
      <c r="R6" s="1">
        <v>2719444</v>
      </c>
      <c r="S6" s="1">
        <v>2107288</v>
      </c>
      <c r="T6" s="1">
        <v>2718581</v>
      </c>
      <c r="U6" s="1">
        <v>3009812</v>
      </c>
    </row>
    <row r="7" spans="1:21" x14ac:dyDescent="0.2">
      <c r="A7" s="26" t="s">
        <v>3</v>
      </c>
      <c r="B7" s="151">
        <v>2171308.92</v>
      </c>
      <c r="C7" s="151">
        <v>2235513.06</v>
      </c>
      <c r="D7" s="107">
        <v>2280410.69</v>
      </c>
      <c r="E7" s="107">
        <f>2434099.86-43</f>
        <v>2434056.86</v>
      </c>
      <c r="F7" s="152">
        <f>2422562.04+13+57</f>
        <v>2422632.04</v>
      </c>
      <c r="G7" s="152">
        <v>2154419</v>
      </c>
      <c r="H7" s="104">
        <v>2099513</v>
      </c>
      <c r="I7" s="104">
        <v>2233559</v>
      </c>
      <c r="J7" s="104">
        <v>2535817</v>
      </c>
      <c r="K7" s="104">
        <v>2443996</v>
      </c>
      <c r="L7" s="104">
        <v>2410691</v>
      </c>
      <c r="M7" s="104">
        <v>2662781</v>
      </c>
      <c r="N7" s="104">
        <v>2763230</v>
      </c>
      <c r="O7" s="104">
        <v>2775053</v>
      </c>
      <c r="P7" s="104">
        <v>2806374</v>
      </c>
      <c r="Q7" s="104">
        <v>3103733</v>
      </c>
      <c r="R7" s="1">
        <v>2631577</v>
      </c>
      <c r="S7" s="1">
        <v>2683774</v>
      </c>
      <c r="T7" s="1">
        <v>3489156</v>
      </c>
      <c r="U7" s="1">
        <v>3536689</v>
      </c>
    </row>
    <row r="8" spans="1:21" x14ac:dyDescent="0.2">
      <c r="A8" s="26" t="s">
        <v>4</v>
      </c>
      <c r="B8" s="151">
        <v>1960443.49</v>
      </c>
      <c r="C8" s="151">
        <v>1956518.23</v>
      </c>
      <c r="D8" s="107">
        <v>2028969.21</v>
      </c>
      <c r="E8" s="107">
        <f>2070215.38+190</f>
        <v>2070405.38</v>
      </c>
      <c r="F8" s="152">
        <f>2270273.27-3362</f>
        <v>2266911.27</v>
      </c>
      <c r="G8" s="152">
        <v>2178054</v>
      </c>
      <c r="H8" s="104">
        <v>1578756</v>
      </c>
      <c r="I8" s="104">
        <v>2473311</v>
      </c>
      <c r="J8" s="104">
        <v>2267038</v>
      </c>
      <c r="K8" s="104">
        <v>2579200</v>
      </c>
      <c r="L8" s="104">
        <v>2556002</v>
      </c>
      <c r="M8" s="104">
        <v>2588709</v>
      </c>
      <c r="N8" s="104">
        <v>2741085</v>
      </c>
      <c r="O8" s="104">
        <v>2669316</v>
      </c>
      <c r="P8" s="104">
        <v>2751840</v>
      </c>
      <c r="Q8" s="104">
        <v>3238731</v>
      </c>
      <c r="R8" s="1">
        <v>1939085</v>
      </c>
      <c r="S8" s="1">
        <v>2478002</v>
      </c>
      <c r="T8" s="1">
        <v>2981473</v>
      </c>
      <c r="U8" s="1">
        <v>3387508</v>
      </c>
    </row>
    <row r="9" spans="1:21" x14ac:dyDescent="0.2">
      <c r="A9" s="26" t="s">
        <v>5</v>
      </c>
      <c r="B9" s="151">
        <v>2075997.91</v>
      </c>
      <c r="C9" s="151">
        <v>2013019.34</v>
      </c>
      <c r="D9" s="107">
        <v>2071287.33</v>
      </c>
      <c r="E9" s="107">
        <f>2603007.35-2270</f>
        <v>2600737.35</v>
      </c>
      <c r="F9" s="152">
        <f>2320953.17+311.77</f>
        <v>2321264.94</v>
      </c>
      <c r="G9" s="152">
        <v>2197772</v>
      </c>
      <c r="H9" s="104">
        <v>2289039</v>
      </c>
      <c r="I9" s="104">
        <v>2394059</v>
      </c>
      <c r="J9" s="104">
        <v>2395336</v>
      </c>
      <c r="K9" s="104">
        <v>2600514</v>
      </c>
      <c r="L9" s="104">
        <v>2716650</v>
      </c>
      <c r="M9" s="104">
        <v>2877069</v>
      </c>
      <c r="N9" s="104">
        <v>2991082</v>
      </c>
      <c r="O9" s="104">
        <v>2829923</v>
      </c>
      <c r="P9" s="104">
        <v>3049682</v>
      </c>
      <c r="Q9" s="104">
        <v>3186191</v>
      </c>
      <c r="R9" s="1">
        <v>1935205</v>
      </c>
      <c r="S9" s="1">
        <v>2696904</v>
      </c>
      <c r="T9" s="1">
        <v>3747268</v>
      </c>
      <c r="U9" s="1">
        <v>3274592</v>
      </c>
    </row>
    <row r="10" spans="1:21" x14ac:dyDescent="0.2">
      <c r="A10" s="26" t="s">
        <v>6</v>
      </c>
      <c r="B10" s="151">
        <v>1668310.94</v>
      </c>
      <c r="C10" s="151">
        <v>1685337.79</v>
      </c>
      <c r="D10" s="107">
        <v>1679937.3</v>
      </c>
      <c r="E10" s="107">
        <f>1993265.93+106</f>
        <v>1993371.93</v>
      </c>
      <c r="F10" s="152">
        <f>1983561.79-20</f>
        <v>1983541.79</v>
      </c>
      <c r="G10" s="152">
        <v>1672760</v>
      </c>
      <c r="H10" s="104">
        <v>1963017</v>
      </c>
      <c r="I10" s="104">
        <v>2080206</v>
      </c>
      <c r="J10" s="104">
        <v>2398216</v>
      </c>
      <c r="K10" s="104">
        <v>2446595</v>
      </c>
      <c r="L10" s="104">
        <v>2556229</v>
      </c>
      <c r="M10" s="104">
        <v>2820326</v>
      </c>
      <c r="N10" s="104">
        <v>2723652</v>
      </c>
      <c r="O10" s="104">
        <v>2789070</v>
      </c>
      <c r="P10" s="104">
        <v>2977367</v>
      </c>
      <c r="Q10" s="104">
        <v>3113670</v>
      </c>
      <c r="R10" s="1">
        <v>2254102</v>
      </c>
      <c r="S10" s="1">
        <v>2908090</v>
      </c>
      <c r="T10" s="1">
        <v>3720244</v>
      </c>
      <c r="U10" s="1">
        <v>4508579</v>
      </c>
    </row>
    <row r="11" spans="1:21" x14ac:dyDescent="0.2">
      <c r="A11" s="26" t="s">
        <v>7</v>
      </c>
      <c r="B11" s="151">
        <v>2500680.35</v>
      </c>
      <c r="C11" s="151">
        <v>2542391.48</v>
      </c>
      <c r="D11" s="107">
        <v>2609179.11</v>
      </c>
      <c r="E11" s="107">
        <f>2707124.77+1104.05</f>
        <v>2708228.82</v>
      </c>
      <c r="F11" s="152">
        <f>2627242.21-26</f>
        <v>2627216.21</v>
      </c>
      <c r="G11" s="152">
        <v>2317420</v>
      </c>
      <c r="H11" s="104">
        <v>2546429</v>
      </c>
      <c r="I11" s="104">
        <v>2721563</v>
      </c>
      <c r="J11" s="104">
        <v>2845142</v>
      </c>
      <c r="K11" s="104">
        <v>3002823</v>
      </c>
      <c r="L11" s="104">
        <v>3279214</v>
      </c>
      <c r="M11" s="104">
        <v>3187249</v>
      </c>
      <c r="N11" s="104">
        <v>3213603</v>
      </c>
      <c r="O11" s="104">
        <v>3397084</v>
      </c>
      <c r="P11" s="104">
        <v>3354965</v>
      </c>
      <c r="Q11" s="104">
        <v>3521142</v>
      </c>
      <c r="R11" s="1">
        <v>2470247</v>
      </c>
      <c r="S11" s="1">
        <v>3120782</v>
      </c>
      <c r="T11" s="1">
        <v>3383065</v>
      </c>
      <c r="U11" s="1">
        <v>3306473</v>
      </c>
    </row>
    <row r="12" spans="1:21" x14ac:dyDescent="0.2">
      <c r="A12" s="26" t="s">
        <v>8</v>
      </c>
      <c r="B12" s="151">
        <v>1906141.21</v>
      </c>
      <c r="C12" s="151">
        <v>2043185.36</v>
      </c>
      <c r="D12" s="107">
        <v>2413804.09</v>
      </c>
      <c r="E12" s="107">
        <f>2094193.64-24</f>
        <v>2094169.64</v>
      </c>
      <c r="F12" s="152">
        <f>2317847.42+279</f>
        <v>2318126.42</v>
      </c>
      <c r="G12" s="152">
        <v>2023638</v>
      </c>
      <c r="H12" s="104">
        <v>2295132</v>
      </c>
      <c r="I12" s="104">
        <v>2698603</v>
      </c>
      <c r="J12" s="104">
        <v>2534668</v>
      </c>
      <c r="K12" s="104">
        <v>2644562</v>
      </c>
      <c r="L12" s="104">
        <v>2698691</v>
      </c>
      <c r="M12" s="104">
        <v>2794125</v>
      </c>
      <c r="N12" s="104">
        <v>2952400</v>
      </c>
      <c r="O12" s="104">
        <v>2965145</v>
      </c>
      <c r="P12" s="104">
        <v>3161840</v>
      </c>
      <c r="Q12" s="104">
        <v>3330830</v>
      </c>
      <c r="R12" s="2">
        <v>2572058</v>
      </c>
      <c r="S12" s="1">
        <v>3085638</v>
      </c>
      <c r="T12" s="1">
        <v>3676594</v>
      </c>
      <c r="U12" s="1">
        <v>3834567</v>
      </c>
    </row>
    <row r="13" spans="1:21" x14ac:dyDescent="0.2">
      <c r="A13" s="26" t="s">
        <v>9</v>
      </c>
      <c r="B13" s="151">
        <v>2154138.84</v>
      </c>
      <c r="C13" s="151">
        <v>2181407.88</v>
      </c>
      <c r="D13" s="107">
        <v>2255023.27</v>
      </c>
      <c r="E13" s="107">
        <f>2212065.57-39</f>
        <v>2212026.5699999998</v>
      </c>
      <c r="F13" s="152">
        <f>2441545.13-27+196512.99+507.61-350</f>
        <v>2638188.73</v>
      </c>
      <c r="G13" s="152">
        <v>2151968</v>
      </c>
      <c r="H13" s="104">
        <v>2605578</v>
      </c>
      <c r="I13" s="104">
        <v>2571578</v>
      </c>
      <c r="J13" s="104">
        <v>2791772</v>
      </c>
      <c r="K13" s="104">
        <v>2814688</v>
      </c>
      <c r="L13" s="104">
        <v>2780792</v>
      </c>
      <c r="M13" s="104">
        <v>2928902</v>
      </c>
      <c r="N13" s="104">
        <v>3154838</v>
      </c>
      <c r="O13" s="104">
        <v>3210028</v>
      </c>
      <c r="P13" s="104">
        <v>3573398</v>
      </c>
      <c r="Q13" s="104">
        <v>3561026</v>
      </c>
      <c r="R13" s="1">
        <v>2436578</v>
      </c>
      <c r="S13" s="1">
        <v>3298283</v>
      </c>
      <c r="T13" s="1">
        <v>3751016</v>
      </c>
      <c r="U13" s="1">
        <v>3980805</v>
      </c>
    </row>
    <row r="14" spans="1:21" x14ac:dyDescent="0.2">
      <c r="A14" s="26" t="s">
        <v>10</v>
      </c>
      <c r="B14" s="151">
        <v>2006687.49</v>
      </c>
      <c r="C14" s="151">
        <v>2073990.76</v>
      </c>
      <c r="D14" s="107">
        <v>2136714.1800000002</v>
      </c>
      <c r="E14" s="107">
        <f>2378983.88-5809</f>
        <v>2373174.88</v>
      </c>
      <c r="F14" s="152"/>
      <c r="G14" s="152">
        <v>2034373</v>
      </c>
      <c r="H14" s="104">
        <v>2176039</v>
      </c>
      <c r="I14" s="104">
        <v>2315848</v>
      </c>
      <c r="J14" s="104">
        <v>2451745</v>
      </c>
      <c r="K14" s="104">
        <v>2685245</v>
      </c>
      <c r="L14" s="104">
        <v>2753579</v>
      </c>
      <c r="M14" s="104">
        <v>2791745</v>
      </c>
      <c r="N14" s="104">
        <v>2840985</v>
      </c>
      <c r="O14" s="104">
        <v>2893553</v>
      </c>
      <c r="P14" s="104">
        <v>3309295</v>
      </c>
      <c r="Q14" s="104">
        <v>3375805</v>
      </c>
      <c r="R14" s="1">
        <v>2749815</v>
      </c>
      <c r="S14" s="1">
        <v>3239740</v>
      </c>
      <c r="T14" s="1">
        <v>3516437</v>
      </c>
      <c r="U14" s="1">
        <v>3627746</v>
      </c>
    </row>
    <row r="15" spans="1:21" x14ac:dyDescent="0.2">
      <c r="A15" s="26" t="s">
        <v>11</v>
      </c>
      <c r="B15" s="153">
        <v>1867139.13</v>
      </c>
      <c r="C15" s="153">
        <v>1942694.37</v>
      </c>
      <c r="D15" s="153">
        <v>1915995.65</v>
      </c>
      <c r="E15" s="153">
        <f>2170837.79-41</f>
        <v>2170796.79</v>
      </c>
      <c r="F15" s="154">
        <v>3703996</v>
      </c>
      <c r="G15" s="155">
        <v>1724864</v>
      </c>
      <c r="H15" s="95">
        <v>1936185</v>
      </c>
      <c r="I15" s="95">
        <v>2091896</v>
      </c>
      <c r="J15" s="95">
        <v>2195482</v>
      </c>
      <c r="K15" s="95">
        <v>2498441</v>
      </c>
      <c r="L15" s="95">
        <v>2454556</v>
      </c>
      <c r="M15" s="95">
        <v>2503885</v>
      </c>
      <c r="N15" s="95">
        <v>2609894</v>
      </c>
      <c r="O15" s="95">
        <v>2676063</v>
      </c>
      <c r="P15" s="95">
        <v>3021910</v>
      </c>
      <c r="Q15" s="95">
        <v>2986353</v>
      </c>
      <c r="R15" s="1">
        <v>2271859</v>
      </c>
      <c r="S15" s="1">
        <v>3154990</v>
      </c>
      <c r="T15" s="1">
        <v>3653907</v>
      </c>
      <c r="U15" s="1">
        <v>3515770</v>
      </c>
    </row>
    <row r="16" spans="1:21" x14ac:dyDescent="0.2">
      <c r="B16" s="156">
        <f t="shared" ref="B16:H16" si="0">SUM(B4:B15)</f>
        <v>24425383.659999996</v>
      </c>
      <c r="C16" s="156">
        <f t="shared" si="0"/>
        <v>25282769.140000001</v>
      </c>
      <c r="D16" s="96">
        <f t="shared" si="0"/>
        <v>25667409.599999998</v>
      </c>
      <c r="E16" s="96">
        <f t="shared" si="0"/>
        <v>27518677.509999998</v>
      </c>
      <c r="F16" s="157">
        <f t="shared" si="0"/>
        <v>27011012.77</v>
      </c>
      <c r="G16" s="157">
        <f t="shared" si="0"/>
        <v>25391147</v>
      </c>
      <c r="H16" s="96">
        <f t="shared" si="0"/>
        <v>25385385</v>
      </c>
      <c r="I16" s="96">
        <f t="shared" ref="I16:N16" si="1">SUM(I4:I15)</f>
        <v>28357156</v>
      </c>
      <c r="J16" s="96">
        <f t="shared" si="1"/>
        <v>29072270</v>
      </c>
      <c r="K16" s="96">
        <f t="shared" si="1"/>
        <v>30731065</v>
      </c>
      <c r="L16" s="96">
        <f t="shared" si="1"/>
        <v>31729043</v>
      </c>
      <c r="M16" s="96">
        <f t="shared" si="1"/>
        <v>33180646</v>
      </c>
      <c r="N16" s="96">
        <f t="shared" si="1"/>
        <v>34098414</v>
      </c>
      <c r="O16" s="96">
        <f t="shared" ref="O16:P16" si="2">SUM(O4:O15)</f>
        <v>34385857</v>
      </c>
      <c r="P16" s="96">
        <f t="shared" si="2"/>
        <v>36483153</v>
      </c>
      <c r="Q16" s="96">
        <f t="shared" ref="Q16:R16" si="3">SUM(Q4:Q15)</f>
        <v>37962282</v>
      </c>
      <c r="R16" s="126">
        <f t="shared" si="3"/>
        <v>30791255</v>
      </c>
      <c r="S16" s="126">
        <f t="shared" ref="S16:T16" si="4">SUM(S4:S15)</f>
        <v>33774935</v>
      </c>
      <c r="T16" s="126">
        <f t="shared" si="4"/>
        <v>41050413</v>
      </c>
      <c r="U16" s="184">
        <f>SUM(U4:U15)</f>
        <v>43397440</v>
      </c>
    </row>
    <row r="17" spans="1:21" x14ac:dyDescent="0.2">
      <c r="B17" s="107"/>
      <c r="C17" s="107"/>
      <c r="D17" s="107"/>
      <c r="E17" s="107"/>
      <c r="F17" s="103" t="s">
        <v>113</v>
      </c>
      <c r="G17" s="94"/>
      <c r="H17" s="94"/>
      <c r="I17" s="94"/>
      <c r="J17" s="94"/>
      <c r="K17" s="94"/>
      <c r="L17" s="94"/>
      <c r="M17" s="94"/>
      <c r="N17" s="94"/>
      <c r="O17" s="94"/>
      <c r="P17" s="174"/>
      <c r="Q17" s="94"/>
      <c r="R17" s="94"/>
      <c r="S17" s="94"/>
    </row>
    <row r="18" spans="1:21" x14ac:dyDescent="0.2">
      <c r="B18" s="107"/>
      <c r="C18" s="107"/>
      <c r="D18" s="107"/>
      <c r="E18" s="107"/>
      <c r="F18" s="103" t="s">
        <v>112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</row>
    <row r="19" spans="1:21" x14ac:dyDescent="0.2">
      <c r="B19" s="107"/>
      <c r="C19" s="107"/>
      <c r="D19" s="107"/>
      <c r="E19" s="107"/>
      <c r="F19" s="10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</row>
    <row r="20" spans="1:21" x14ac:dyDescent="0.2">
      <c r="A20" s="24" t="s">
        <v>13</v>
      </c>
      <c r="B20" s="148">
        <v>5.0000000000000001E-3</v>
      </c>
      <c r="C20" s="94" t="s">
        <v>177</v>
      </c>
      <c r="D20" s="107"/>
      <c r="E20" s="107"/>
      <c r="F20" s="94"/>
      <c r="G20" s="5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</row>
    <row r="21" spans="1:21" x14ac:dyDescent="0.2">
      <c r="B21" s="16">
        <v>2004</v>
      </c>
      <c r="C21" s="16">
        <v>2005</v>
      </c>
      <c r="D21" s="16">
        <v>2006</v>
      </c>
      <c r="E21" s="16">
        <v>2007</v>
      </c>
      <c r="F21" s="16">
        <v>2008</v>
      </c>
      <c r="G21" s="16">
        <v>2009</v>
      </c>
      <c r="H21" s="16">
        <v>2010</v>
      </c>
      <c r="I21" s="16">
        <v>2011</v>
      </c>
      <c r="J21" s="18">
        <v>2012</v>
      </c>
      <c r="K21" s="16">
        <v>2013</v>
      </c>
      <c r="L21" s="18">
        <v>2014</v>
      </c>
      <c r="M21" s="18">
        <v>2015</v>
      </c>
      <c r="N21" s="18">
        <v>2016</v>
      </c>
      <c r="O21" s="18">
        <v>2017</v>
      </c>
      <c r="P21" s="18">
        <v>2018</v>
      </c>
      <c r="Q21" s="18">
        <v>2019</v>
      </c>
      <c r="R21" s="18">
        <v>2020</v>
      </c>
      <c r="S21" s="18">
        <v>2021</v>
      </c>
      <c r="T21" s="18">
        <v>2022</v>
      </c>
      <c r="U21" s="18">
        <v>2023</v>
      </c>
    </row>
    <row r="22" spans="1:21" x14ac:dyDescent="0.2">
      <c r="A22" s="26" t="s">
        <v>0</v>
      </c>
      <c r="B22" s="151">
        <v>228084.52</v>
      </c>
      <c r="C22" s="151">
        <v>376140.31</v>
      </c>
      <c r="D22" s="107">
        <v>318065.5</v>
      </c>
      <c r="E22" s="107">
        <f>290678.4+47</f>
        <v>290725.40000000002</v>
      </c>
      <c r="F22" s="152">
        <v>303009.44</v>
      </c>
      <c r="G22" s="152">
        <v>385490</v>
      </c>
      <c r="H22" s="104">
        <v>270571</v>
      </c>
      <c r="I22" s="104">
        <v>369925</v>
      </c>
      <c r="J22" s="151">
        <v>256564</v>
      </c>
      <c r="K22" s="104">
        <v>322169</v>
      </c>
      <c r="L22" s="104">
        <v>298265</v>
      </c>
      <c r="M22" s="151">
        <v>359946</v>
      </c>
      <c r="N22" s="151">
        <v>410049</v>
      </c>
      <c r="O22" s="151">
        <v>625779</v>
      </c>
      <c r="P22" s="151">
        <v>620671</v>
      </c>
      <c r="Q22" s="151">
        <v>10060167</v>
      </c>
      <c r="R22" s="1">
        <v>436990</v>
      </c>
      <c r="S22" s="1">
        <v>334638</v>
      </c>
      <c r="T22" s="1">
        <v>271316</v>
      </c>
      <c r="U22" s="1">
        <v>357292</v>
      </c>
    </row>
    <row r="23" spans="1:21" x14ac:dyDescent="0.2">
      <c r="A23" s="26" t="s">
        <v>1</v>
      </c>
      <c r="B23" s="151">
        <v>190673.98</v>
      </c>
      <c r="C23" s="151">
        <v>762427.59</v>
      </c>
      <c r="D23" s="107">
        <v>226855.23</v>
      </c>
      <c r="E23" s="107">
        <f>251083.42-262</f>
        <v>250821.42</v>
      </c>
      <c r="F23" s="152">
        <f>216363.64+17</f>
        <v>216380.64</v>
      </c>
      <c r="G23" s="152">
        <v>208565</v>
      </c>
      <c r="H23" s="104">
        <v>306183</v>
      </c>
      <c r="I23" s="104">
        <v>201796</v>
      </c>
      <c r="J23" s="104">
        <v>748706</v>
      </c>
      <c r="K23" s="104">
        <v>224607</v>
      </c>
      <c r="L23" s="104">
        <v>341748</v>
      </c>
      <c r="M23" s="104">
        <v>268097</v>
      </c>
      <c r="N23" s="104">
        <v>375285</v>
      </c>
      <c r="O23" s="104">
        <v>226743</v>
      </c>
      <c r="P23" s="104">
        <v>390692</v>
      </c>
      <c r="Q23" s="104">
        <v>183185</v>
      </c>
      <c r="R23" s="1">
        <v>249807</v>
      </c>
      <c r="S23" s="1">
        <v>268690</v>
      </c>
      <c r="T23" s="1">
        <v>181884</v>
      </c>
      <c r="U23" s="1">
        <v>294730</v>
      </c>
    </row>
    <row r="24" spans="1:21" x14ac:dyDescent="0.2">
      <c r="A24" s="26" t="s">
        <v>2</v>
      </c>
      <c r="B24" s="151">
        <v>225023.95</v>
      </c>
      <c r="C24" s="151">
        <v>165199.6</v>
      </c>
      <c r="D24" s="107">
        <v>170995.64</v>
      </c>
      <c r="E24" s="107">
        <f>186950.29+1030</f>
        <v>187980.29</v>
      </c>
      <c r="F24" s="152">
        <f>197805.12+998</f>
        <v>198803.12</v>
      </c>
      <c r="G24" s="152">
        <v>172267</v>
      </c>
      <c r="H24" s="104">
        <v>408879</v>
      </c>
      <c r="I24" s="104">
        <v>190889</v>
      </c>
      <c r="J24" s="104">
        <v>147534</v>
      </c>
      <c r="K24" s="104">
        <v>150098</v>
      </c>
      <c r="L24" s="104">
        <v>361289</v>
      </c>
      <c r="M24" s="104">
        <v>192231</v>
      </c>
      <c r="N24" s="104">
        <v>170939</v>
      </c>
      <c r="O24" s="104">
        <v>236085</v>
      </c>
      <c r="P24" s="104">
        <v>156667</v>
      </c>
      <c r="Q24" s="104">
        <v>295341</v>
      </c>
      <c r="R24" s="1">
        <v>261554</v>
      </c>
      <c r="S24" s="1">
        <v>242501</v>
      </c>
      <c r="T24" s="1">
        <v>361236</v>
      </c>
      <c r="U24" s="1">
        <v>380632</v>
      </c>
    </row>
    <row r="25" spans="1:21" x14ac:dyDescent="0.2">
      <c r="A25" s="26" t="s">
        <v>3</v>
      </c>
      <c r="B25" s="151">
        <v>168393.82</v>
      </c>
      <c r="C25" s="151">
        <v>219508.41</v>
      </c>
      <c r="D25" s="107">
        <v>248005.22</v>
      </c>
      <c r="E25" s="107">
        <f>253233.87</f>
        <v>253233.87</v>
      </c>
      <c r="F25" s="152">
        <f>307431.46-4</f>
        <v>307427.46000000002</v>
      </c>
      <c r="G25" s="152">
        <v>132932</v>
      </c>
      <c r="H25" s="104">
        <v>157422</v>
      </c>
      <c r="I25" s="104">
        <v>195168</v>
      </c>
      <c r="J25" s="104">
        <v>194663</v>
      </c>
      <c r="K25" s="104">
        <v>267763</v>
      </c>
      <c r="L25" s="104">
        <v>535387</v>
      </c>
      <c r="M25" s="104">
        <v>204193</v>
      </c>
      <c r="N25" s="104">
        <v>255341</v>
      </c>
      <c r="O25" s="104">
        <v>248482</v>
      </c>
      <c r="P25" s="104">
        <v>259252</v>
      </c>
      <c r="Q25" s="104">
        <v>270779</v>
      </c>
      <c r="R25" s="1">
        <v>356622</v>
      </c>
      <c r="S25" s="1">
        <v>218440</v>
      </c>
      <c r="T25" s="1">
        <v>320323</v>
      </c>
      <c r="U25" s="1">
        <v>418497</v>
      </c>
    </row>
    <row r="26" spans="1:21" x14ac:dyDescent="0.2">
      <c r="A26" s="26" t="s">
        <v>4</v>
      </c>
      <c r="B26" s="151">
        <v>163773.21</v>
      </c>
      <c r="C26" s="151">
        <v>208220.16</v>
      </c>
      <c r="D26" s="107">
        <v>197880.69</v>
      </c>
      <c r="E26" s="107">
        <f>211547.35-561</f>
        <v>210986.35</v>
      </c>
      <c r="F26" s="152">
        <f>271153.06-172</f>
        <v>270981.06</v>
      </c>
      <c r="G26" s="152">
        <v>156847</v>
      </c>
      <c r="H26" s="104">
        <v>187038</v>
      </c>
      <c r="I26" s="104">
        <v>260971</v>
      </c>
      <c r="J26" s="104">
        <v>211422</v>
      </c>
      <c r="K26" s="104">
        <v>213474</v>
      </c>
      <c r="L26" s="104">
        <v>186073</v>
      </c>
      <c r="M26" s="104">
        <v>257135</v>
      </c>
      <c r="N26" s="104">
        <v>326764</v>
      </c>
      <c r="O26" s="104">
        <v>196649</v>
      </c>
      <c r="P26" s="104">
        <v>186078</v>
      </c>
      <c r="Q26" s="104">
        <v>242224</v>
      </c>
      <c r="R26" s="1">
        <v>148109</v>
      </c>
      <c r="S26" s="1">
        <v>217524</v>
      </c>
      <c r="T26" s="1">
        <v>193367</v>
      </c>
      <c r="U26" s="1">
        <v>336821</v>
      </c>
    </row>
    <row r="27" spans="1:21" x14ac:dyDescent="0.2">
      <c r="A27" s="26" t="s">
        <v>5</v>
      </c>
      <c r="B27" s="151">
        <v>220367.65</v>
      </c>
      <c r="C27" s="151">
        <v>174555.86</v>
      </c>
      <c r="D27" s="107">
        <v>262725.34000000003</v>
      </c>
      <c r="E27" s="107">
        <f>245439.07+4</f>
        <v>245443.07</v>
      </c>
      <c r="F27" s="152">
        <f>215609.77-22+7</f>
        <v>215594.77</v>
      </c>
      <c r="G27" s="152">
        <v>113640</v>
      </c>
      <c r="H27" s="104">
        <v>203227</v>
      </c>
      <c r="I27" s="104">
        <v>141627</v>
      </c>
      <c r="J27" s="104">
        <v>234630</v>
      </c>
      <c r="K27" s="104">
        <v>224024</v>
      </c>
      <c r="L27" s="104">
        <v>163683</v>
      </c>
      <c r="M27" s="104">
        <v>253734</v>
      </c>
      <c r="N27" s="104">
        <v>212581</v>
      </c>
      <c r="O27" s="104">
        <v>244481</v>
      </c>
      <c r="P27" s="104">
        <v>272778</v>
      </c>
      <c r="Q27" s="104">
        <v>214058</v>
      </c>
      <c r="R27" s="1">
        <v>203691</v>
      </c>
      <c r="S27" s="1">
        <v>213805</v>
      </c>
      <c r="T27" s="1">
        <v>390891</v>
      </c>
      <c r="U27" s="1">
        <v>306744</v>
      </c>
    </row>
    <row r="28" spans="1:21" x14ac:dyDescent="0.2">
      <c r="A28" s="26" t="s">
        <v>6</v>
      </c>
      <c r="B28" s="151">
        <v>179658.16</v>
      </c>
      <c r="C28" s="151">
        <v>240286.2</v>
      </c>
      <c r="D28" s="107">
        <v>159098.68</v>
      </c>
      <c r="E28" s="107">
        <f>194332.17-263</f>
        <v>194069.17</v>
      </c>
      <c r="F28" s="152">
        <f>176366.96-23+20</f>
        <v>176363.96</v>
      </c>
      <c r="G28" s="152">
        <v>168985</v>
      </c>
      <c r="H28" s="104">
        <v>142564</v>
      </c>
      <c r="I28" s="104">
        <v>181544</v>
      </c>
      <c r="J28" s="104">
        <v>221467</v>
      </c>
      <c r="K28" s="104">
        <v>257334</v>
      </c>
      <c r="L28" s="104">
        <v>219557</v>
      </c>
      <c r="M28" s="104">
        <v>208964</v>
      </c>
      <c r="N28" s="104">
        <v>294924</v>
      </c>
      <c r="O28" s="104">
        <v>390226</v>
      </c>
      <c r="P28" s="104">
        <v>238713</v>
      </c>
      <c r="Q28" s="104">
        <v>282052</v>
      </c>
      <c r="R28" s="1">
        <v>282462</v>
      </c>
      <c r="S28" s="1">
        <v>239901</v>
      </c>
      <c r="T28" s="1">
        <v>196748</v>
      </c>
      <c r="U28" s="1">
        <v>303171</v>
      </c>
    </row>
    <row r="29" spans="1:21" x14ac:dyDescent="0.2">
      <c r="A29" s="26" t="s">
        <v>7</v>
      </c>
      <c r="B29" s="151">
        <v>232069.52</v>
      </c>
      <c r="C29" s="151">
        <v>238546.63</v>
      </c>
      <c r="D29" s="107">
        <v>255943.51</v>
      </c>
      <c r="E29" s="107">
        <f>240842.16-6</f>
        <v>240836.16</v>
      </c>
      <c r="F29" s="152">
        <f>246063.81-374</f>
        <v>245689.81</v>
      </c>
      <c r="G29" s="152">
        <v>205980</v>
      </c>
      <c r="H29" s="104">
        <v>157891</v>
      </c>
      <c r="I29" s="104">
        <v>165674</v>
      </c>
      <c r="J29" s="104">
        <v>212762</v>
      </c>
      <c r="K29" s="104">
        <v>261361</v>
      </c>
      <c r="L29" s="104">
        <v>206191</v>
      </c>
      <c r="M29" s="104">
        <v>434831</v>
      </c>
      <c r="N29" s="104">
        <v>230780</v>
      </c>
      <c r="O29" s="104">
        <v>285164</v>
      </c>
      <c r="P29" s="104">
        <v>266717</v>
      </c>
      <c r="Q29" s="104">
        <v>228766</v>
      </c>
      <c r="R29" s="1">
        <v>146295</v>
      </c>
      <c r="S29" s="1">
        <v>248157</v>
      </c>
      <c r="T29" s="1">
        <v>232407</v>
      </c>
      <c r="U29" s="1">
        <v>317860</v>
      </c>
    </row>
    <row r="30" spans="1:21" x14ac:dyDescent="0.2">
      <c r="A30" s="26" t="s">
        <v>8</v>
      </c>
      <c r="B30" s="151">
        <v>227544.22</v>
      </c>
      <c r="C30" s="151">
        <v>200103.17</v>
      </c>
      <c r="D30" s="107">
        <v>311246.15999999997</v>
      </c>
      <c r="E30" s="107">
        <v>271331.28999999998</v>
      </c>
      <c r="F30" s="152">
        <f>197115.01-111</f>
        <v>197004.01</v>
      </c>
      <c r="G30" s="152">
        <v>148812</v>
      </c>
      <c r="H30" s="104">
        <v>163801</v>
      </c>
      <c r="I30" s="104">
        <v>149434</v>
      </c>
      <c r="J30" s="104">
        <v>214153</v>
      </c>
      <c r="K30" s="104">
        <v>171069</v>
      </c>
      <c r="L30" s="104">
        <v>208370</v>
      </c>
      <c r="M30" s="104">
        <v>249791</v>
      </c>
      <c r="N30" s="104">
        <v>317555</v>
      </c>
      <c r="O30" s="104">
        <v>323193</v>
      </c>
      <c r="P30" s="104">
        <v>322129</v>
      </c>
      <c r="Q30" s="104">
        <v>268816</v>
      </c>
      <c r="R30" s="2">
        <v>185780</v>
      </c>
      <c r="S30" s="1">
        <v>246525</v>
      </c>
      <c r="T30" s="1">
        <v>199410</v>
      </c>
      <c r="U30" s="1">
        <v>304175</v>
      </c>
    </row>
    <row r="31" spans="1:21" x14ac:dyDescent="0.2">
      <c r="A31" s="26" t="s">
        <v>9</v>
      </c>
      <c r="B31" s="151">
        <v>209801.36</v>
      </c>
      <c r="C31" s="151">
        <v>286096.84999999998</v>
      </c>
      <c r="D31" s="107">
        <v>207478.77</v>
      </c>
      <c r="E31" s="107">
        <f>222900.04+73902</f>
        <v>296802.04000000004</v>
      </c>
      <c r="F31" s="152">
        <f>212396.95-12+354039.4+149.57</f>
        <v>566573.92000000004</v>
      </c>
      <c r="G31" s="152">
        <v>184175</v>
      </c>
      <c r="H31" s="104">
        <v>158744</v>
      </c>
      <c r="I31" s="104">
        <v>157660</v>
      </c>
      <c r="J31" s="104">
        <v>610047</v>
      </c>
      <c r="K31" s="104">
        <v>323473</v>
      </c>
      <c r="L31" s="104">
        <v>329748</v>
      </c>
      <c r="M31" s="104">
        <v>263103</v>
      </c>
      <c r="N31" s="104">
        <v>292101</v>
      </c>
      <c r="O31" s="104">
        <v>395604</v>
      </c>
      <c r="P31" s="104">
        <v>413430</v>
      </c>
      <c r="Q31" s="104">
        <v>276429</v>
      </c>
      <c r="R31" s="1">
        <v>224630</v>
      </c>
      <c r="S31" s="1">
        <v>260568</v>
      </c>
      <c r="T31" s="1">
        <v>193728</v>
      </c>
      <c r="U31" s="1">
        <v>308786</v>
      </c>
    </row>
    <row r="32" spans="1:21" x14ac:dyDescent="0.2">
      <c r="A32" s="26" t="s">
        <v>10</v>
      </c>
      <c r="B32" s="151">
        <v>212909.77</v>
      </c>
      <c r="C32" s="151">
        <v>184572.63</v>
      </c>
      <c r="D32" s="107">
        <v>237780.48000000001</v>
      </c>
      <c r="E32" s="107">
        <v>236514.24</v>
      </c>
      <c r="F32" s="152"/>
      <c r="G32" s="152">
        <v>186232</v>
      </c>
      <c r="H32" s="104">
        <v>187581</v>
      </c>
      <c r="I32" s="104">
        <v>224016</v>
      </c>
      <c r="J32" s="104">
        <v>249264</v>
      </c>
      <c r="K32" s="104">
        <v>190515</v>
      </c>
      <c r="L32" s="104">
        <v>279964</v>
      </c>
      <c r="M32" s="104">
        <v>239723</v>
      </c>
      <c r="N32" s="104">
        <v>376956</v>
      </c>
      <c r="O32" s="104">
        <v>461134</v>
      </c>
      <c r="P32" s="104">
        <v>366554</v>
      </c>
      <c r="Q32" s="104">
        <v>271667</v>
      </c>
      <c r="R32" s="1">
        <v>242342</v>
      </c>
      <c r="S32" s="1">
        <v>132186</v>
      </c>
      <c r="T32" s="1">
        <v>235407</v>
      </c>
      <c r="U32" s="1">
        <v>286957</v>
      </c>
    </row>
    <row r="33" spans="1:21" x14ac:dyDescent="0.2">
      <c r="A33" s="26" t="s">
        <v>11</v>
      </c>
      <c r="B33" s="153">
        <v>159965.07999999999</v>
      </c>
      <c r="C33" s="153">
        <v>217843.34</v>
      </c>
      <c r="D33" s="153">
        <v>230462.97</v>
      </c>
      <c r="E33" s="153">
        <v>227960.03</v>
      </c>
      <c r="F33" s="154">
        <v>399384</v>
      </c>
      <c r="G33" s="155">
        <v>148154</v>
      </c>
      <c r="H33" s="95">
        <v>184419</v>
      </c>
      <c r="I33" s="95">
        <v>163643</v>
      </c>
      <c r="J33" s="95">
        <v>187932</v>
      </c>
      <c r="K33" s="95">
        <v>211788</v>
      </c>
      <c r="L33" s="95">
        <v>231824</v>
      </c>
      <c r="M33" s="95">
        <v>264469</v>
      </c>
      <c r="N33" s="95">
        <v>262911</v>
      </c>
      <c r="O33" s="95">
        <v>277360</v>
      </c>
      <c r="P33" s="95">
        <v>366932</v>
      </c>
      <c r="Q33" s="95">
        <v>262989</v>
      </c>
      <c r="R33" s="95">
        <v>232056</v>
      </c>
      <c r="S33" s="1">
        <v>302182</v>
      </c>
      <c r="T33" s="1">
        <v>-8569622</v>
      </c>
      <c r="U33" s="1">
        <v>300180</v>
      </c>
    </row>
    <row r="34" spans="1:21" x14ac:dyDescent="0.2">
      <c r="B34" s="156">
        <f t="shared" ref="B34:H34" si="5">SUM(B22:B33)</f>
        <v>2418265.2399999998</v>
      </c>
      <c r="C34" s="156">
        <f t="shared" si="5"/>
        <v>3273500.7499999995</v>
      </c>
      <c r="D34" s="96">
        <f t="shared" si="5"/>
        <v>2826538.1900000004</v>
      </c>
      <c r="E34" s="96">
        <f t="shared" si="5"/>
        <v>2906703.3299999996</v>
      </c>
      <c r="F34" s="157">
        <f t="shared" si="5"/>
        <v>3097212.19</v>
      </c>
      <c r="G34" s="157">
        <f t="shared" si="5"/>
        <v>2212079</v>
      </c>
      <c r="H34" s="157">
        <f t="shared" si="5"/>
        <v>2528320</v>
      </c>
      <c r="I34" s="157">
        <f t="shared" ref="I34:N34" si="6">SUM(I22:I33)</f>
        <v>2402347</v>
      </c>
      <c r="J34" s="157">
        <f t="shared" si="6"/>
        <v>3489144</v>
      </c>
      <c r="K34" s="157">
        <f t="shared" si="6"/>
        <v>2817675</v>
      </c>
      <c r="L34" s="96">
        <f t="shared" si="6"/>
        <v>3362099</v>
      </c>
      <c r="M34" s="96">
        <f t="shared" si="6"/>
        <v>3196217</v>
      </c>
      <c r="N34" s="96">
        <f t="shared" si="6"/>
        <v>3526186</v>
      </c>
      <c r="O34" s="96">
        <f t="shared" ref="O34:P34" si="7">SUM(O22:O33)</f>
        <v>3910900</v>
      </c>
      <c r="P34" s="96">
        <f t="shared" si="7"/>
        <v>3860613</v>
      </c>
      <c r="Q34" s="96">
        <f t="shared" ref="Q34:S34" si="8">SUM(Q22:Q33)</f>
        <v>12856473</v>
      </c>
      <c r="R34" s="126">
        <f t="shared" ref="R34" si="9">SUM(R22:R33)</f>
        <v>2970338</v>
      </c>
      <c r="S34" s="126">
        <f t="shared" si="8"/>
        <v>2925117</v>
      </c>
      <c r="T34" s="126">
        <f t="shared" ref="T34:U34" si="10">SUM(T22:T33)</f>
        <v>-5792905</v>
      </c>
      <c r="U34" s="126">
        <f t="shared" si="10"/>
        <v>3915845</v>
      </c>
    </row>
    <row r="35" spans="1:21" x14ac:dyDescent="0.2">
      <c r="B35" s="151"/>
      <c r="C35" s="151"/>
      <c r="D35" s="107"/>
      <c r="E35" s="107"/>
      <c r="F35" s="157"/>
      <c r="G35" s="157"/>
      <c r="H35" s="157"/>
      <c r="I35" s="157"/>
      <c r="J35" s="158"/>
      <c r="K35" s="94"/>
      <c r="L35" s="94"/>
      <c r="M35" s="94"/>
      <c r="N35" s="94"/>
      <c r="O35" s="94"/>
      <c r="P35" s="94"/>
      <c r="Q35" s="94"/>
      <c r="R35" s="94"/>
      <c r="S35" s="94"/>
    </row>
    <row r="36" spans="1:21" x14ac:dyDescent="0.2">
      <c r="B36" s="151"/>
      <c r="C36" s="151"/>
      <c r="D36" s="107"/>
      <c r="E36" s="107"/>
      <c r="F36" s="157"/>
      <c r="G36" s="157"/>
      <c r="H36" s="157"/>
      <c r="I36" s="157"/>
      <c r="J36" s="158"/>
      <c r="K36" s="94"/>
      <c r="L36" s="94"/>
      <c r="M36" s="94"/>
      <c r="N36" s="94"/>
      <c r="O36" s="94"/>
      <c r="P36" s="94"/>
      <c r="Q36" s="94"/>
      <c r="R36" s="94"/>
      <c r="S36" s="94"/>
    </row>
    <row r="37" spans="1:21" x14ac:dyDescent="0.2">
      <c r="A37" s="29" t="s">
        <v>245</v>
      </c>
      <c r="B37" s="94"/>
      <c r="C37" s="94"/>
      <c r="D37" s="94"/>
      <c r="E37" s="152"/>
      <c r="F37" s="152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</row>
    <row r="38" spans="1:21" x14ac:dyDescent="0.2">
      <c r="B38" s="16">
        <v>2004</v>
      </c>
      <c r="C38" s="16">
        <v>2005</v>
      </c>
      <c r="D38" s="16">
        <v>2006</v>
      </c>
      <c r="E38" s="16">
        <v>2007</v>
      </c>
      <c r="F38" s="16">
        <v>2008</v>
      </c>
      <c r="G38" s="16">
        <v>2009</v>
      </c>
      <c r="H38" s="16">
        <v>2010</v>
      </c>
      <c r="I38" s="16">
        <v>2011</v>
      </c>
      <c r="J38" s="18">
        <v>2012</v>
      </c>
      <c r="K38" s="16">
        <v>2013</v>
      </c>
      <c r="L38" s="18">
        <v>2014</v>
      </c>
      <c r="M38" s="18">
        <v>2015</v>
      </c>
      <c r="N38" s="18">
        <v>2016</v>
      </c>
      <c r="O38" s="18">
        <v>2017</v>
      </c>
      <c r="P38" s="18">
        <v>2018</v>
      </c>
      <c r="Q38" s="18">
        <v>2019</v>
      </c>
      <c r="R38" s="18">
        <v>2020</v>
      </c>
      <c r="S38" s="18">
        <v>2021</v>
      </c>
      <c r="T38" s="18">
        <v>2022</v>
      </c>
      <c r="U38" s="18">
        <v>2023</v>
      </c>
    </row>
    <row r="39" spans="1:21" x14ac:dyDescent="0.2">
      <c r="A39" s="26"/>
      <c r="B39" s="151"/>
      <c r="C39" s="151"/>
      <c r="D39" s="151"/>
      <c r="E39" s="151"/>
      <c r="F39" s="159"/>
      <c r="G39" s="159"/>
      <c r="H39" s="104"/>
      <c r="I39" s="104"/>
      <c r="J39" s="151"/>
      <c r="K39" s="104"/>
      <c r="L39" s="105"/>
      <c r="M39" s="151"/>
      <c r="N39" s="151"/>
      <c r="O39" s="151"/>
      <c r="P39" s="151"/>
      <c r="Q39" s="151"/>
      <c r="R39" s="151"/>
      <c r="S39" s="151"/>
      <c r="T39" s="151"/>
      <c r="U39" s="151"/>
    </row>
    <row r="40" spans="1:21" x14ac:dyDescent="0.2">
      <c r="A40" s="26" t="s">
        <v>0</v>
      </c>
      <c r="B40" s="151"/>
      <c r="C40" s="151"/>
      <c r="D40" s="151"/>
      <c r="E40" s="151"/>
      <c r="F40" s="151"/>
      <c r="G40" s="151">
        <v>-67753</v>
      </c>
      <c r="H40" s="107">
        <v>-59734</v>
      </c>
      <c r="I40" s="107">
        <v>-3405</v>
      </c>
      <c r="J40" s="104">
        <v>-20421</v>
      </c>
      <c r="K40" s="104">
        <v>-13732</v>
      </c>
      <c r="L40" s="104">
        <v>-23770</v>
      </c>
      <c r="M40" s="104">
        <v>-67574</v>
      </c>
      <c r="N40" s="151">
        <v>-81295</v>
      </c>
      <c r="O40" s="151">
        <v>-14957</v>
      </c>
      <c r="P40" s="151">
        <v>-36178</v>
      </c>
      <c r="Q40" s="151">
        <v>-1129773</v>
      </c>
      <c r="R40" s="1">
        <v>-19992</v>
      </c>
      <c r="S40" s="1">
        <v>-34351</v>
      </c>
      <c r="T40" s="1">
        <v>-207563</v>
      </c>
      <c r="U40" s="1">
        <v>-14836</v>
      </c>
    </row>
    <row r="41" spans="1:21" x14ac:dyDescent="0.2">
      <c r="A41" s="26" t="s">
        <v>1</v>
      </c>
      <c r="B41" s="151"/>
      <c r="C41" s="151"/>
      <c r="D41" s="151"/>
      <c r="E41" s="151"/>
      <c r="F41" s="151"/>
      <c r="G41" s="151">
        <v>0</v>
      </c>
      <c r="H41" s="107">
        <v>-28871</v>
      </c>
      <c r="I41" s="107">
        <v>-112202</v>
      </c>
      <c r="J41" s="104">
        <v>-100881</v>
      </c>
      <c r="K41" s="104">
        <v>-62758</v>
      </c>
      <c r="L41" s="104">
        <v>-70986</v>
      </c>
      <c r="M41" s="104">
        <v>-73765</v>
      </c>
      <c r="N41" s="104">
        <v>-62742</v>
      </c>
      <c r="O41" s="104">
        <v>-61700</v>
      </c>
      <c r="P41" s="104">
        <v>-21096</v>
      </c>
      <c r="Q41" s="104">
        <v>-150153</v>
      </c>
      <c r="R41" s="1">
        <v>-721492</v>
      </c>
      <c r="S41" s="1">
        <v>-277478</v>
      </c>
      <c r="T41" s="1">
        <v>-4149</v>
      </c>
      <c r="U41" s="1">
        <v>-234132</v>
      </c>
    </row>
    <row r="42" spans="1:21" x14ac:dyDescent="0.2">
      <c r="A42" s="26" t="s">
        <v>2</v>
      </c>
      <c r="B42" s="151"/>
      <c r="C42" s="151"/>
      <c r="D42" s="151"/>
      <c r="E42" s="151"/>
      <c r="F42" s="151"/>
      <c r="G42" s="151">
        <v>-220867</v>
      </c>
      <c r="H42" s="107">
        <v>-53671</v>
      </c>
      <c r="I42" s="107">
        <v>-63001</v>
      </c>
      <c r="J42" s="104">
        <v>-106777</v>
      </c>
      <c r="K42" s="104">
        <v>-53146</v>
      </c>
      <c r="L42" s="104">
        <v>-24407</v>
      </c>
      <c r="M42" s="104">
        <v>-137560</v>
      </c>
      <c r="N42" s="104">
        <v>-21096</v>
      </c>
      <c r="O42" s="104">
        <v>-148697</v>
      </c>
      <c r="P42" s="104">
        <v>-27357</v>
      </c>
      <c r="Q42" s="104">
        <v>-41355</v>
      </c>
      <c r="R42" s="1">
        <v>-411177</v>
      </c>
      <c r="S42" s="1">
        <v>-210804</v>
      </c>
      <c r="T42" s="1">
        <v>-303438</v>
      </c>
      <c r="U42" s="1">
        <v>-2471</v>
      </c>
    </row>
    <row r="43" spans="1:21" x14ac:dyDescent="0.2">
      <c r="A43" s="26" t="s">
        <v>3</v>
      </c>
      <c r="B43" s="151"/>
      <c r="C43" s="151"/>
      <c r="D43" s="151"/>
      <c r="E43" s="151"/>
      <c r="F43" s="151"/>
      <c r="G43" s="151">
        <v>-101989</v>
      </c>
      <c r="H43" s="107">
        <v>-27418</v>
      </c>
      <c r="I43" s="107">
        <v>-45691</v>
      </c>
      <c r="J43" s="104">
        <v>-18229</v>
      </c>
      <c r="K43" s="104">
        <v>-35173</v>
      </c>
      <c r="L43" s="104">
        <v>-61786</v>
      </c>
      <c r="M43" s="104">
        <v>-34767</v>
      </c>
      <c r="N43" s="104">
        <v>-71765</v>
      </c>
      <c r="O43" s="104">
        <v>-7771</v>
      </c>
      <c r="P43" s="104">
        <v>-402964</v>
      </c>
      <c r="Q43" s="104">
        <v>-87933</v>
      </c>
      <c r="R43" s="1">
        <v>-35048</v>
      </c>
      <c r="S43" s="1">
        <v>-18838</v>
      </c>
      <c r="T43" s="1">
        <v>-52979</v>
      </c>
      <c r="U43" s="1">
        <v>-32736</v>
      </c>
    </row>
    <row r="44" spans="1:21" x14ac:dyDescent="0.2">
      <c r="A44" s="26" t="s">
        <v>4</v>
      </c>
      <c r="B44" s="151"/>
      <c r="C44" s="151"/>
      <c r="D44" s="151"/>
      <c r="E44" s="151"/>
      <c r="F44" s="151"/>
      <c r="G44" s="151">
        <v>-105276</v>
      </c>
      <c r="H44" s="107">
        <v>-17991</v>
      </c>
      <c r="I44" s="107">
        <v>-16940</v>
      </c>
      <c r="J44" s="104">
        <v>-30337</v>
      </c>
      <c r="K44" s="104">
        <v>-22841</v>
      </c>
      <c r="L44" s="104">
        <v>-64514</v>
      </c>
      <c r="M44" s="104">
        <v>-5005</v>
      </c>
      <c r="N44" s="104">
        <v>-46525</v>
      </c>
      <c r="O44" s="104">
        <v>-51032</v>
      </c>
      <c r="P44" s="104">
        <v>-260428</v>
      </c>
      <c r="Q44" s="104">
        <v>-96060</v>
      </c>
      <c r="R44" s="1">
        <v>-71367</v>
      </c>
      <c r="S44" s="1">
        <v>-4570</v>
      </c>
      <c r="T44" s="1">
        <v>-2408</v>
      </c>
      <c r="U44" s="1">
        <v>-23355</v>
      </c>
    </row>
    <row r="45" spans="1:21" x14ac:dyDescent="0.2">
      <c r="A45" s="26" t="s">
        <v>5</v>
      </c>
      <c r="B45" s="151"/>
      <c r="C45" s="151"/>
      <c r="D45" s="151"/>
      <c r="E45" s="151"/>
      <c r="F45" s="151"/>
      <c r="G45" s="151">
        <v>-24403</v>
      </c>
      <c r="H45" s="107">
        <v>-10238</v>
      </c>
      <c r="I45" s="107">
        <v>-20173</v>
      </c>
      <c r="J45" s="104">
        <v>-67349</v>
      </c>
      <c r="K45" s="104">
        <v>-23063</v>
      </c>
      <c r="L45" s="104">
        <v>-24697</v>
      </c>
      <c r="M45" s="104">
        <v>-45478</v>
      </c>
      <c r="N45" s="104">
        <v>-81997</v>
      </c>
      <c r="O45" s="104">
        <v>-67991</v>
      </c>
      <c r="P45" s="104">
        <v>-35446</v>
      </c>
      <c r="Q45" s="104">
        <v>-30110</v>
      </c>
      <c r="R45" s="1">
        <v>-31148</v>
      </c>
      <c r="S45" s="1">
        <v>-322736</v>
      </c>
      <c r="T45" s="1">
        <v>-95703</v>
      </c>
      <c r="U45" s="1">
        <v>-1650</v>
      </c>
    </row>
    <row r="46" spans="1:21" x14ac:dyDescent="0.2">
      <c r="A46" s="26" t="s">
        <v>6</v>
      </c>
      <c r="B46" s="151"/>
      <c r="C46" s="151"/>
      <c r="D46" s="151"/>
      <c r="E46" s="151"/>
      <c r="F46" s="151"/>
      <c r="G46" s="151">
        <v>-20861</v>
      </c>
      <c r="H46" s="107">
        <v>-1544</v>
      </c>
      <c r="I46" s="107">
        <v>-36693</v>
      </c>
      <c r="J46" s="104">
        <v>-8206</v>
      </c>
      <c r="K46" s="104">
        <v>-42930</v>
      </c>
      <c r="L46" s="104">
        <v>-31897</v>
      </c>
      <c r="M46" s="104">
        <v>-39954</v>
      </c>
      <c r="N46" s="104">
        <v>-81179</v>
      </c>
      <c r="O46" s="104">
        <v>-192356</v>
      </c>
      <c r="P46" s="104">
        <v>-92575</v>
      </c>
      <c r="Q46" s="104">
        <v>-23083</v>
      </c>
      <c r="R46" s="1">
        <v>-397477</v>
      </c>
      <c r="S46" s="1">
        <v>-8389</v>
      </c>
      <c r="T46" s="1">
        <v>-63204</v>
      </c>
      <c r="U46" s="1">
        <v>-9208</v>
      </c>
    </row>
    <row r="47" spans="1:21" x14ac:dyDescent="0.2">
      <c r="A47" s="26" t="s">
        <v>7</v>
      </c>
      <c r="B47" s="151"/>
      <c r="C47" s="151"/>
      <c r="D47" s="151"/>
      <c r="E47" s="151"/>
      <c r="F47" s="151"/>
      <c r="G47" s="151">
        <v>-86124</v>
      </c>
      <c r="H47" s="107">
        <v>-11994</v>
      </c>
      <c r="I47" s="107">
        <v>-19600</v>
      </c>
      <c r="J47" s="104">
        <v>-36938</v>
      </c>
      <c r="K47" s="104">
        <v>-132578</v>
      </c>
      <c r="L47" s="104">
        <v>-27877</v>
      </c>
      <c r="M47" s="104">
        <v>-88299</v>
      </c>
      <c r="N47" s="104">
        <v>-35715</v>
      </c>
      <c r="O47" s="104">
        <v>-390456</v>
      </c>
      <c r="P47" s="104">
        <v>-4654</v>
      </c>
      <c r="Q47" s="104">
        <v>-15200</v>
      </c>
      <c r="R47" s="1">
        <v>-170859</v>
      </c>
      <c r="S47" s="1">
        <v>-1652</v>
      </c>
      <c r="T47" s="1">
        <v>-1203</v>
      </c>
      <c r="U47" s="1">
        <v>-28740</v>
      </c>
    </row>
    <row r="48" spans="1:21" x14ac:dyDescent="0.2">
      <c r="A48" s="26" t="s">
        <v>8</v>
      </c>
      <c r="B48" s="151"/>
      <c r="C48" s="151"/>
      <c r="D48" s="151"/>
      <c r="E48" s="151"/>
      <c r="F48" s="151"/>
      <c r="G48" s="151">
        <v>-6190</v>
      </c>
      <c r="H48" s="107">
        <v>-23901</v>
      </c>
      <c r="I48" s="107">
        <v>-63407</v>
      </c>
      <c r="J48" s="104">
        <v>-139021</v>
      </c>
      <c r="K48" s="104">
        <v>-21604</v>
      </c>
      <c r="L48" s="104">
        <v>-3808</v>
      </c>
      <c r="M48" s="104">
        <v>-47179</v>
      </c>
      <c r="N48" s="104">
        <v>-30983</v>
      </c>
      <c r="O48" s="104">
        <v>-81838</v>
      </c>
      <c r="P48" s="104">
        <v>-394549</v>
      </c>
      <c r="Q48" s="104">
        <v>-2418</v>
      </c>
      <c r="R48" s="2">
        <v>-11588</v>
      </c>
      <c r="S48" s="1">
        <v>-3138</v>
      </c>
      <c r="T48" s="1">
        <v>-64517</v>
      </c>
      <c r="U48" s="1">
        <v>-269486</v>
      </c>
    </row>
    <row r="49" spans="1:21" x14ac:dyDescent="0.2">
      <c r="A49" s="26" t="s">
        <v>9</v>
      </c>
      <c r="B49" s="151"/>
      <c r="C49" s="151"/>
      <c r="D49" s="151"/>
      <c r="E49" s="151"/>
      <c r="F49" s="151"/>
      <c r="G49" s="151">
        <v>-36002</v>
      </c>
      <c r="H49" s="107">
        <v>-7654</v>
      </c>
      <c r="I49" s="107">
        <v>-40174</v>
      </c>
      <c r="J49" s="104">
        <v>-20889</v>
      </c>
      <c r="K49" s="104">
        <v>-84716</v>
      </c>
      <c r="L49" s="104">
        <v>-63777</v>
      </c>
      <c r="M49" s="104">
        <v>-9847</v>
      </c>
      <c r="N49" s="104">
        <v>-28544</v>
      </c>
      <c r="O49" s="104">
        <v>-32443</v>
      </c>
      <c r="P49" s="104">
        <v>-66403</v>
      </c>
      <c r="Q49" s="104">
        <v>-314735</v>
      </c>
      <c r="R49" s="1">
        <v>-16796</v>
      </c>
      <c r="S49" s="1">
        <v>-76828</v>
      </c>
      <c r="T49" s="1">
        <v>-152711</v>
      </c>
      <c r="U49" s="1">
        <v>-176618</v>
      </c>
    </row>
    <row r="50" spans="1:21" x14ac:dyDescent="0.2">
      <c r="A50" s="26" t="s">
        <v>10</v>
      </c>
      <c r="B50" s="160"/>
      <c r="C50" s="160"/>
      <c r="D50" s="160"/>
      <c r="E50" s="160"/>
      <c r="F50" s="151"/>
      <c r="G50" s="151">
        <v>-27814</v>
      </c>
      <c r="H50" s="107">
        <v>-201306</v>
      </c>
      <c r="I50" s="107">
        <v>-123617</v>
      </c>
      <c r="J50" s="104">
        <v>-62348</v>
      </c>
      <c r="K50" s="104">
        <v>-27045</v>
      </c>
      <c r="L50" s="104">
        <v>-34490</v>
      </c>
      <c r="M50" s="104">
        <v>-62301</v>
      </c>
      <c r="N50" s="104">
        <v>-12353</v>
      </c>
      <c r="O50" s="104">
        <v>-47354</v>
      </c>
      <c r="P50" s="104">
        <v>-24732</v>
      </c>
      <c r="Q50" s="104">
        <v>-400306</v>
      </c>
      <c r="R50" s="1">
        <v>-22850</v>
      </c>
      <c r="S50" s="1">
        <v>-52814</v>
      </c>
      <c r="T50" s="1">
        <v>-31975</v>
      </c>
      <c r="U50" s="1">
        <v>-7006</v>
      </c>
    </row>
    <row r="51" spans="1:21" x14ac:dyDescent="0.2">
      <c r="A51" s="26" t="s">
        <v>11</v>
      </c>
      <c r="B51" s="162"/>
      <c r="C51" s="162"/>
      <c r="D51" s="162"/>
      <c r="E51" s="162"/>
      <c r="F51" s="153">
        <v>-8340</v>
      </c>
      <c r="G51" s="153">
        <v>-40950</v>
      </c>
      <c r="H51" s="153">
        <v>-3911</v>
      </c>
      <c r="I51" s="153">
        <v>-83563</v>
      </c>
      <c r="J51" s="95">
        <v>-41182</v>
      </c>
      <c r="K51" s="95">
        <v>-36577</v>
      </c>
      <c r="L51" s="95">
        <v>-90990</v>
      </c>
      <c r="M51" s="95">
        <v>-40533</v>
      </c>
      <c r="N51" s="95">
        <v>-3857</v>
      </c>
      <c r="O51" s="95">
        <v>-58719</v>
      </c>
      <c r="P51" s="95">
        <v>-618</v>
      </c>
      <c r="Q51" s="95">
        <v>-21983</v>
      </c>
      <c r="R51" s="1">
        <v>-2450</v>
      </c>
      <c r="S51" s="1">
        <v>-1974</v>
      </c>
      <c r="T51" s="1">
        <v>-43252</v>
      </c>
      <c r="U51" s="1">
        <v>-700796</v>
      </c>
    </row>
    <row r="52" spans="1:21" x14ac:dyDescent="0.2">
      <c r="B52" s="126"/>
      <c r="C52" s="126"/>
      <c r="D52" s="126"/>
      <c r="E52" s="126"/>
      <c r="F52" s="126">
        <f t="shared" ref="F52:N52" si="11">SUM(F40:F51)</f>
        <v>-8340</v>
      </c>
      <c r="G52" s="126">
        <f t="shared" si="11"/>
        <v>-738229</v>
      </c>
      <c r="H52" s="126">
        <f t="shared" si="11"/>
        <v>-448233</v>
      </c>
      <c r="I52" s="126">
        <f t="shared" si="11"/>
        <v>-628466</v>
      </c>
      <c r="J52" s="126">
        <f t="shared" si="11"/>
        <v>-652578</v>
      </c>
      <c r="K52" s="126">
        <f t="shared" si="11"/>
        <v>-556163</v>
      </c>
      <c r="L52" s="126">
        <f t="shared" si="11"/>
        <v>-522999</v>
      </c>
      <c r="M52" s="126">
        <f t="shared" si="11"/>
        <v>-652262</v>
      </c>
      <c r="N52" s="126">
        <f t="shared" si="11"/>
        <v>-558051</v>
      </c>
      <c r="O52" s="126">
        <f t="shared" ref="O52:P52" si="12">SUM(O40:O51)</f>
        <v>-1155314</v>
      </c>
      <c r="P52" s="126">
        <f t="shared" si="12"/>
        <v>-1367000</v>
      </c>
      <c r="Q52" s="126">
        <f t="shared" ref="Q52:S52" si="13">SUM(Q40:Q51)</f>
        <v>-2313109</v>
      </c>
      <c r="R52" s="126">
        <f t="shared" ref="R52" si="14">SUM(R40:R51)</f>
        <v>-1912244</v>
      </c>
      <c r="S52" s="126">
        <f t="shared" si="13"/>
        <v>-1013572</v>
      </c>
      <c r="T52" s="126">
        <f t="shared" ref="T52:U52" si="15">SUM(T40:T51)</f>
        <v>-1023102</v>
      </c>
      <c r="U52" s="126">
        <f t="shared" si="15"/>
        <v>-1501034</v>
      </c>
    </row>
    <row r="53" spans="1:21" x14ac:dyDescent="0.2">
      <c r="B53" s="107"/>
      <c r="C53" s="107"/>
      <c r="D53" s="107"/>
      <c r="E53" s="107"/>
      <c r="F53" s="152"/>
      <c r="G53" s="152"/>
      <c r="H53" s="94"/>
      <c r="I53" s="94"/>
      <c r="J53" s="157"/>
      <c r="K53" s="94"/>
      <c r="L53" s="94"/>
      <c r="M53" s="94"/>
      <c r="N53" s="94"/>
      <c r="O53" s="94"/>
      <c r="P53" s="94"/>
      <c r="Q53" s="94"/>
      <c r="R53" s="94"/>
      <c r="S53" s="94"/>
    </row>
    <row r="54" spans="1:21" x14ac:dyDescent="0.2">
      <c r="B54" s="107"/>
      <c r="C54" s="107"/>
      <c r="D54" s="107"/>
      <c r="E54" s="107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</row>
    <row r="55" spans="1:21" x14ac:dyDescent="0.2">
      <c r="A55" s="24" t="s">
        <v>14</v>
      </c>
      <c r="B55" s="147">
        <v>0.03</v>
      </c>
      <c r="C55" s="107" t="s">
        <v>177</v>
      </c>
      <c r="D55" s="107"/>
      <c r="E55" s="107"/>
      <c r="F55" s="94"/>
      <c r="G55" s="94"/>
      <c r="H55" s="94"/>
      <c r="I55" s="5" t="s">
        <v>100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</row>
    <row r="56" spans="1:21" x14ac:dyDescent="0.2">
      <c r="B56" s="16">
        <v>2004</v>
      </c>
      <c r="C56" s="16">
        <v>2005</v>
      </c>
      <c r="D56" s="16">
        <v>2006</v>
      </c>
      <c r="E56" s="16">
        <v>2007</v>
      </c>
      <c r="F56" s="16">
        <v>2008</v>
      </c>
      <c r="G56" s="16">
        <v>2009</v>
      </c>
      <c r="H56" s="16">
        <v>2010</v>
      </c>
      <c r="I56" s="16">
        <v>2011</v>
      </c>
      <c r="J56" s="18">
        <v>2012</v>
      </c>
      <c r="K56" s="16">
        <v>2013</v>
      </c>
      <c r="L56" s="18">
        <v>2014</v>
      </c>
      <c r="M56" s="18">
        <v>2015</v>
      </c>
      <c r="N56" s="18">
        <v>2016</v>
      </c>
      <c r="O56" s="18">
        <v>2017</v>
      </c>
      <c r="P56" s="18">
        <v>2018</v>
      </c>
      <c r="Q56" s="18">
        <v>2019</v>
      </c>
      <c r="R56" s="18">
        <v>2020</v>
      </c>
      <c r="S56" s="18">
        <v>2021</v>
      </c>
      <c r="T56" s="18">
        <v>2022</v>
      </c>
      <c r="U56" s="18">
        <v>2023</v>
      </c>
    </row>
    <row r="57" spans="1:21" x14ac:dyDescent="0.2">
      <c r="A57" s="26" t="s">
        <v>0</v>
      </c>
      <c r="B57" s="151">
        <v>321062.01</v>
      </c>
      <c r="C57" s="151">
        <v>356409</v>
      </c>
      <c r="D57" s="151">
        <v>340968.79</v>
      </c>
      <c r="E57" s="151">
        <v>363027</v>
      </c>
      <c r="F57" s="159">
        <v>353603</v>
      </c>
      <c r="G57" s="159">
        <v>358567</v>
      </c>
      <c r="H57" s="104">
        <v>320401</v>
      </c>
      <c r="I57" s="104">
        <v>324470</v>
      </c>
      <c r="J57" s="151">
        <v>380139</v>
      </c>
      <c r="K57" s="104">
        <v>451483</v>
      </c>
      <c r="L57" s="105">
        <v>400958</v>
      </c>
      <c r="M57" s="151">
        <v>400871</v>
      </c>
      <c r="N57" s="151">
        <v>436295</v>
      </c>
      <c r="O57" s="151">
        <v>534046</v>
      </c>
      <c r="P57" s="151">
        <v>513262</v>
      </c>
      <c r="Q57" s="151">
        <v>535331</v>
      </c>
      <c r="R57" s="1">
        <v>542582</v>
      </c>
      <c r="S57" s="1">
        <v>19840</v>
      </c>
      <c r="T57" s="1">
        <v>365455</v>
      </c>
      <c r="U57" s="1">
        <v>414195</v>
      </c>
    </row>
    <row r="58" spans="1:21" x14ac:dyDescent="0.2">
      <c r="A58" s="26" t="s">
        <v>1</v>
      </c>
      <c r="B58" s="151">
        <v>253258</v>
      </c>
      <c r="C58" s="151">
        <v>264695</v>
      </c>
      <c r="D58" s="151">
        <v>257725.47</v>
      </c>
      <c r="E58" s="151">
        <v>300584.52</v>
      </c>
      <c r="F58" s="159">
        <v>291103</v>
      </c>
      <c r="G58" s="159">
        <v>345283</v>
      </c>
      <c r="H58" s="104">
        <v>265260</v>
      </c>
      <c r="I58" s="104">
        <v>301268</v>
      </c>
      <c r="J58" s="104">
        <v>301591</v>
      </c>
      <c r="K58" s="104">
        <v>304256</v>
      </c>
      <c r="L58" s="105">
        <v>320386</v>
      </c>
      <c r="M58" s="104">
        <v>355624</v>
      </c>
      <c r="N58" s="104">
        <v>355857</v>
      </c>
      <c r="O58" s="104">
        <v>398165</v>
      </c>
      <c r="P58" s="104">
        <v>474617</v>
      </c>
      <c r="Q58" s="104">
        <v>382229</v>
      </c>
      <c r="R58" s="113">
        <v>383991</v>
      </c>
      <c r="S58" s="1">
        <v>42720</v>
      </c>
      <c r="T58" s="1">
        <v>226602</v>
      </c>
      <c r="U58" s="1">
        <v>315962</v>
      </c>
    </row>
    <row r="59" spans="1:21" x14ac:dyDescent="0.2">
      <c r="A59" s="26" t="s">
        <v>2</v>
      </c>
      <c r="B59" s="151">
        <v>259449</v>
      </c>
      <c r="C59" s="151">
        <v>277502</v>
      </c>
      <c r="D59" s="151">
        <v>252657</v>
      </c>
      <c r="E59" s="151">
        <v>241733</v>
      </c>
      <c r="F59" s="159">
        <v>337702.04</v>
      </c>
      <c r="G59" s="159">
        <v>292479</v>
      </c>
      <c r="H59" s="104">
        <v>266057</v>
      </c>
      <c r="I59" s="104">
        <v>338081</v>
      </c>
      <c r="J59" s="104">
        <v>315174</v>
      </c>
      <c r="K59" s="104">
        <v>339789</v>
      </c>
      <c r="L59" s="105">
        <v>343067</v>
      </c>
      <c r="M59" s="104">
        <v>336548</v>
      </c>
      <c r="N59" s="104">
        <v>326928</v>
      </c>
      <c r="O59" s="104">
        <v>378350</v>
      </c>
      <c r="P59" s="104">
        <v>623742</v>
      </c>
      <c r="Q59" s="104">
        <v>547392</v>
      </c>
      <c r="R59" s="113">
        <v>387539</v>
      </c>
      <c r="S59" s="1">
        <v>69780</v>
      </c>
      <c r="T59" s="1">
        <v>270905</v>
      </c>
      <c r="U59" s="1">
        <v>301780</v>
      </c>
    </row>
    <row r="60" spans="1:21" x14ac:dyDescent="0.2">
      <c r="A60" s="26" t="s">
        <v>3</v>
      </c>
      <c r="B60" s="151">
        <v>274464.27</v>
      </c>
      <c r="C60" s="151">
        <v>297289</v>
      </c>
      <c r="D60" s="151">
        <v>290176.01</v>
      </c>
      <c r="E60" s="151">
        <v>312650</v>
      </c>
      <c r="F60" s="159">
        <v>315788.53999999998</v>
      </c>
      <c r="G60" s="159">
        <v>294989</v>
      </c>
      <c r="H60" s="104">
        <v>332697</v>
      </c>
      <c r="I60" s="104">
        <v>312550</v>
      </c>
      <c r="J60" s="104">
        <v>820666</v>
      </c>
      <c r="K60" s="104">
        <v>362869</v>
      </c>
      <c r="L60" s="105">
        <v>367733</v>
      </c>
      <c r="M60" s="104">
        <v>418370</v>
      </c>
      <c r="N60" s="104">
        <v>380219</v>
      </c>
      <c r="O60" s="104">
        <v>409560</v>
      </c>
      <c r="P60" s="104">
        <v>401896</v>
      </c>
      <c r="Q60" s="104">
        <v>464149</v>
      </c>
      <c r="R60" s="1">
        <v>173425</v>
      </c>
      <c r="S60" s="1">
        <v>51340</v>
      </c>
      <c r="T60" s="1">
        <v>375087</v>
      </c>
      <c r="U60" s="1">
        <v>358396</v>
      </c>
    </row>
    <row r="61" spans="1:21" x14ac:dyDescent="0.2">
      <c r="A61" s="26" t="s">
        <v>4</v>
      </c>
      <c r="B61" s="151">
        <v>267752</v>
      </c>
      <c r="C61" s="151">
        <v>354872.48</v>
      </c>
      <c r="D61" s="151">
        <v>280105</v>
      </c>
      <c r="E61" s="151">
        <v>281560</v>
      </c>
      <c r="F61" s="159">
        <v>327194.49</v>
      </c>
      <c r="G61" s="159">
        <v>375973</v>
      </c>
      <c r="H61" s="104">
        <v>435205</v>
      </c>
      <c r="I61" s="104">
        <v>450454</v>
      </c>
      <c r="J61" s="104">
        <v>511587</v>
      </c>
      <c r="K61" s="104">
        <v>422086</v>
      </c>
      <c r="L61" s="105">
        <v>400143</v>
      </c>
      <c r="M61" s="104">
        <v>402316</v>
      </c>
      <c r="N61" s="104">
        <v>518319</v>
      </c>
      <c r="O61" s="104">
        <v>450933</v>
      </c>
      <c r="P61" s="104">
        <v>449562</v>
      </c>
      <c r="Q61" s="104">
        <v>595383</v>
      </c>
      <c r="R61" s="117">
        <v>9993</v>
      </c>
      <c r="S61" s="1">
        <v>169970</v>
      </c>
      <c r="T61" s="1">
        <v>425039</v>
      </c>
      <c r="U61" s="1">
        <v>466810</v>
      </c>
    </row>
    <row r="62" spans="1:21" x14ac:dyDescent="0.2">
      <c r="A62" s="26" t="s">
        <v>5</v>
      </c>
      <c r="B62" s="151">
        <v>306295.26</v>
      </c>
      <c r="C62" s="151">
        <v>272402</v>
      </c>
      <c r="D62" s="151">
        <v>276780.90000000002</v>
      </c>
      <c r="E62" s="151">
        <v>307180.79999999999</v>
      </c>
      <c r="F62" s="159">
        <v>334823</v>
      </c>
      <c r="G62" s="159">
        <v>293738</v>
      </c>
      <c r="H62" s="104">
        <v>527538</v>
      </c>
      <c r="I62" s="104">
        <v>392667</v>
      </c>
      <c r="J62" s="104">
        <v>427731</v>
      </c>
      <c r="K62" s="104">
        <v>494835</v>
      </c>
      <c r="L62" s="105">
        <v>456497</v>
      </c>
      <c r="M62" s="104">
        <v>500525</v>
      </c>
      <c r="N62" s="104">
        <v>456569</v>
      </c>
      <c r="O62" s="104">
        <v>473137</v>
      </c>
      <c r="P62" s="104">
        <v>497231</v>
      </c>
      <c r="Q62" s="104">
        <v>580424</v>
      </c>
      <c r="R62" s="113">
        <v>38900</v>
      </c>
      <c r="S62" s="1">
        <v>255985</v>
      </c>
      <c r="T62" s="1">
        <v>404003</v>
      </c>
      <c r="U62" s="1">
        <v>507898</v>
      </c>
    </row>
    <row r="63" spans="1:21" x14ac:dyDescent="0.2">
      <c r="A63" s="26" t="s">
        <v>6</v>
      </c>
      <c r="B63" s="151">
        <v>234296</v>
      </c>
      <c r="C63" s="151">
        <v>240183.74</v>
      </c>
      <c r="D63" s="151">
        <v>225717.67</v>
      </c>
      <c r="E63" s="151">
        <v>306290</v>
      </c>
      <c r="F63" s="159">
        <v>281935.11</v>
      </c>
      <c r="G63" s="152">
        <v>231299</v>
      </c>
      <c r="H63" s="104">
        <v>373104</v>
      </c>
      <c r="I63" s="104">
        <v>383487</v>
      </c>
      <c r="J63" s="104">
        <v>432759</v>
      </c>
      <c r="K63" s="104">
        <v>422820</v>
      </c>
      <c r="L63" s="105">
        <v>421823</v>
      </c>
      <c r="M63" s="104">
        <v>468978</v>
      </c>
      <c r="N63" s="104">
        <v>484680</v>
      </c>
      <c r="O63" s="104">
        <v>484072</v>
      </c>
      <c r="P63" s="104">
        <v>559589</v>
      </c>
      <c r="Q63" s="104">
        <v>599754</v>
      </c>
      <c r="R63" s="1">
        <v>57211</v>
      </c>
      <c r="S63" s="1">
        <v>235454</v>
      </c>
      <c r="T63" s="1">
        <v>496318</v>
      </c>
      <c r="U63" s="1">
        <v>562373</v>
      </c>
    </row>
    <row r="64" spans="1:21" x14ac:dyDescent="0.2">
      <c r="A64" s="26" t="s">
        <v>7</v>
      </c>
      <c r="B64" s="151">
        <v>368356.83</v>
      </c>
      <c r="C64" s="151">
        <v>383163</v>
      </c>
      <c r="D64" s="151">
        <v>376946.02</v>
      </c>
      <c r="E64" s="151">
        <v>360462</v>
      </c>
      <c r="F64" s="159">
        <v>367263</v>
      </c>
      <c r="G64" s="152">
        <v>344351</v>
      </c>
      <c r="H64" s="104">
        <v>502783</v>
      </c>
      <c r="I64" s="104">
        <v>567551</v>
      </c>
      <c r="J64" s="104">
        <v>547316</v>
      </c>
      <c r="K64" s="104">
        <v>610693</v>
      </c>
      <c r="L64" s="105">
        <v>636961</v>
      </c>
      <c r="M64" s="104">
        <v>601103</v>
      </c>
      <c r="N64" s="104">
        <v>518925</v>
      </c>
      <c r="O64" s="104">
        <v>592038</v>
      </c>
      <c r="P64" s="104">
        <v>606579</v>
      </c>
      <c r="Q64" s="104">
        <v>560919</v>
      </c>
      <c r="R64" s="1">
        <v>105843</v>
      </c>
      <c r="S64" s="1">
        <v>355513</v>
      </c>
      <c r="T64" s="1">
        <v>387784</v>
      </c>
      <c r="U64" s="1">
        <v>421867</v>
      </c>
    </row>
    <row r="65" spans="1:21" x14ac:dyDescent="0.2">
      <c r="A65" s="26" t="s">
        <v>8</v>
      </c>
      <c r="B65" s="151">
        <v>284320</v>
      </c>
      <c r="C65" s="151">
        <v>295792</v>
      </c>
      <c r="D65" s="151">
        <v>303497</v>
      </c>
      <c r="E65" s="151">
        <v>325762</v>
      </c>
      <c r="F65" s="159">
        <v>396634.61</v>
      </c>
      <c r="G65" s="152">
        <v>309355</v>
      </c>
      <c r="H65" s="104">
        <v>409179</v>
      </c>
      <c r="I65" s="104">
        <v>489992</v>
      </c>
      <c r="J65" s="104">
        <v>415064</v>
      </c>
      <c r="K65" s="104">
        <v>461075</v>
      </c>
      <c r="L65" s="105">
        <v>500618</v>
      </c>
      <c r="M65" s="104">
        <v>464323</v>
      </c>
      <c r="N65" s="104">
        <v>531237</v>
      </c>
      <c r="O65" s="104">
        <v>507172</v>
      </c>
      <c r="P65" s="104">
        <v>582862</v>
      </c>
      <c r="Q65" s="104">
        <v>613099</v>
      </c>
      <c r="R65" s="2">
        <v>103160</v>
      </c>
      <c r="S65" s="1">
        <v>314947</v>
      </c>
      <c r="T65" s="1">
        <v>515707</v>
      </c>
      <c r="U65" s="1">
        <v>517457</v>
      </c>
    </row>
    <row r="66" spans="1:21" x14ac:dyDescent="0.2">
      <c r="A66" s="26" t="s">
        <v>9</v>
      </c>
      <c r="B66" s="151">
        <v>291067</v>
      </c>
      <c r="C66" s="151">
        <v>325137.5</v>
      </c>
      <c r="D66" s="151">
        <v>452362.69</v>
      </c>
      <c r="E66" s="151">
        <v>357958.76</v>
      </c>
      <c r="F66" s="159">
        <v>383856</v>
      </c>
      <c r="G66" s="152">
        <v>319765</v>
      </c>
      <c r="H66" s="104">
        <v>465468</v>
      </c>
      <c r="I66" s="104">
        <v>413227</v>
      </c>
      <c r="J66" s="104">
        <v>480135</v>
      </c>
      <c r="K66" s="104">
        <v>450490</v>
      </c>
      <c r="L66" s="105">
        <v>551490</v>
      </c>
      <c r="M66" s="104">
        <v>469751</v>
      </c>
      <c r="N66" s="104">
        <v>494869</v>
      </c>
      <c r="O66" s="104">
        <v>657009</v>
      </c>
      <c r="P66" s="104">
        <v>585099</v>
      </c>
      <c r="Q66" s="104">
        <v>612533</v>
      </c>
      <c r="R66" s="1">
        <v>215556</v>
      </c>
      <c r="S66" s="1">
        <v>372011</v>
      </c>
      <c r="T66" s="1">
        <v>494718</v>
      </c>
      <c r="U66" s="1">
        <v>602369</v>
      </c>
    </row>
    <row r="67" spans="1:21" x14ac:dyDescent="0.2">
      <c r="A67" s="26" t="s">
        <v>10</v>
      </c>
      <c r="B67" s="151">
        <v>305142</v>
      </c>
      <c r="C67" s="151">
        <v>279152</v>
      </c>
      <c r="D67" s="151">
        <v>317268.68</v>
      </c>
      <c r="E67" s="151">
        <v>337007.56</v>
      </c>
      <c r="F67" s="159"/>
      <c r="G67" s="152">
        <v>361880</v>
      </c>
      <c r="H67" s="104">
        <v>448040</v>
      </c>
      <c r="I67" s="104">
        <v>352544</v>
      </c>
      <c r="J67" s="104">
        <v>469273</v>
      </c>
      <c r="K67" s="104">
        <v>444834</v>
      </c>
      <c r="L67" s="105">
        <v>423899</v>
      </c>
      <c r="M67" s="104">
        <v>461484</v>
      </c>
      <c r="N67" s="104">
        <v>528528</v>
      </c>
      <c r="O67" s="104">
        <v>553947</v>
      </c>
      <c r="P67" s="104">
        <v>524576</v>
      </c>
      <c r="Q67" s="104">
        <v>522896</v>
      </c>
      <c r="R67" s="1">
        <v>115019</v>
      </c>
      <c r="S67" s="1">
        <v>423309</v>
      </c>
      <c r="T67" s="1">
        <v>481231</v>
      </c>
      <c r="U67" s="1">
        <v>555414</v>
      </c>
    </row>
    <row r="68" spans="1:21" x14ac:dyDescent="0.2">
      <c r="A68" s="26" t="s">
        <v>11</v>
      </c>
      <c r="B68" s="153">
        <v>317584</v>
      </c>
      <c r="C68" s="153">
        <v>279628.05</v>
      </c>
      <c r="D68" s="153">
        <v>300199</v>
      </c>
      <c r="E68" s="153">
        <v>385113.18</v>
      </c>
      <c r="F68" s="154">
        <v>620644</v>
      </c>
      <c r="G68" s="155">
        <v>297447</v>
      </c>
      <c r="H68" s="95">
        <v>272588</v>
      </c>
      <c r="I68" s="95">
        <v>303650</v>
      </c>
      <c r="J68" s="95">
        <v>356480</v>
      </c>
      <c r="K68" s="95">
        <v>379559</v>
      </c>
      <c r="L68" s="95">
        <v>432874</v>
      </c>
      <c r="M68" s="95">
        <v>370028</v>
      </c>
      <c r="N68" s="95">
        <v>432745</v>
      </c>
      <c r="O68" s="95">
        <v>419037</v>
      </c>
      <c r="P68" s="95">
        <v>462099</v>
      </c>
      <c r="Q68" s="95">
        <v>489948</v>
      </c>
      <c r="R68" s="95">
        <v>70234</v>
      </c>
      <c r="S68" s="1">
        <v>392991</v>
      </c>
      <c r="T68" s="1">
        <v>463526</v>
      </c>
      <c r="U68" s="1">
        <v>444642</v>
      </c>
    </row>
    <row r="69" spans="1:21" x14ac:dyDescent="0.2">
      <c r="B69" s="156">
        <f t="shared" ref="B69:H69" si="16">SUM(B57:B68)</f>
        <v>3483046.37</v>
      </c>
      <c r="C69" s="156">
        <f t="shared" si="16"/>
        <v>3626225.7699999996</v>
      </c>
      <c r="D69" s="156">
        <f t="shared" si="16"/>
        <v>3674404.23</v>
      </c>
      <c r="E69" s="156">
        <f t="shared" si="16"/>
        <v>3879328.8200000003</v>
      </c>
      <c r="F69" s="163">
        <f t="shared" si="16"/>
        <v>4010546.79</v>
      </c>
      <c r="G69" s="163">
        <f t="shared" si="16"/>
        <v>3825126</v>
      </c>
      <c r="H69" s="163">
        <f t="shared" si="16"/>
        <v>4618320</v>
      </c>
      <c r="I69" s="163">
        <f t="shared" ref="I69:N69" si="17">SUM(I57:I68)</f>
        <v>4629941</v>
      </c>
      <c r="J69" s="163">
        <f t="shared" si="17"/>
        <v>5457915</v>
      </c>
      <c r="K69" s="163">
        <f t="shared" si="17"/>
        <v>5144789</v>
      </c>
      <c r="L69" s="96">
        <f t="shared" si="17"/>
        <v>5256449</v>
      </c>
      <c r="M69" s="96">
        <f t="shared" si="17"/>
        <v>5249921</v>
      </c>
      <c r="N69" s="96">
        <f t="shared" si="17"/>
        <v>5465171</v>
      </c>
      <c r="O69" s="96">
        <f t="shared" ref="O69:P69" si="18">SUM(O57:O68)</f>
        <v>5857466</v>
      </c>
      <c r="P69" s="96">
        <f t="shared" si="18"/>
        <v>6281114</v>
      </c>
      <c r="Q69" s="96">
        <f t="shared" ref="Q69:S69" si="19">SUM(Q57:Q68)</f>
        <v>6504057</v>
      </c>
      <c r="R69" s="126">
        <f t="shared" ref="R69" si="20">SUM(R57:R68)</f>
        <v>2203453</v>
      </c>
      <c r="S69" s="126">
        <f t="shared" si="19"/>
        <v>2703860</v>
      </c>
      <c r="T69" s="126">
        <f t="shared" ref="T69:U69" si="21">SUM(T57:T68)</f>
        <v>4906375</v>
      </c>
      <c r="U69" s="126">
        <f t="shared" si="21"/>
        <v>5469163</v>
      </c>
    </row>
    <row r="70" spans="1:21" x14ac:dyDescent="0.2">
      <c r="B70" s="107"/>
      <c r="C70" s="107"/>
      <c r="D70" s="107"/>
      <c r="E70" s="107"/>
      <c r="F70" s="152"/>
      <c r="G70" s="152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</row>
    <row r="71" spans="1:21" x14ac:dyDescent="0.2">
      <c r="B71" s="107"/>
      <c r="C71" s="107"/>
      <c r="D71" s="107"/>
      <c r="E71" s="107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</row>
    <row r="72" spans="1:21" x14ac:dyDescent="0.2">
      <c r="A72" s="24" t="s">
        <v>15</v>
      </c>
      <c r="B72" s="164">
        <v>0.03</v>
      </c>
      <c r="C72" s="107" t="s">
        <v>370</v>
      </c>
      <c r="D72" s="107"/>
      <c r="E72" s="107"/>
      <c r="F72" s="94"/>
      <c r="G72" s="94"/>
      <c r="H72" s="94"/>
      <c r="I72" s="5" t="s">
        <v>39</v>
      </c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</row>
    <row r="73" spans="1:21" x14ac:dyDescent="0.2">
      <c r="B73" s="16">
        <v>2004</v>
      </c>
      <c r="C73" s="16">
        <v>2005</v>
      </c>
      <c r="D73" s="16">
        <v>2006</v>
      </c>
      <c r="E73" s="16">
        <v>2007</v>
      </c>
      <c r="F73" s="16">
        <v>2008</v>
      </c>
      <c r="G73" s="16">
        <v>2009</v>
      </c>
      <c r="H73" s="16">
        <v>2010</v>
      </c>
      <c r="I73" s="16">
        <v>2011</v>
      </c>
      <c r="J73" s="18">
        <v>2012</v>
      </c>
      <c r="K73" s="18">
        <v>2013</v>
      </c>
      <c r="L73" s="18">
        <v>2014</v>
      </c>
      <c r="M73" s="18">
        <v>2015</v>
      </c>
      <c r="N73" s="18">
        <v>2016</v>
      </c>
      <c r="O73" s="18">
        <v>2017</v>
      </c>
      <c r="P73" s="18">
        <v>2018</v>
      </c>
      <c r="Q73" s="18">
        <v>2019</v>
      </c>
      <c r="R73" s="18">
        <v>2020</v>
      </c>
      <c r="S73" s="18">
        <v>2021</v>
      </c>
      <c r="T73" s="18">
        <v>2022</v>
      </c>
      <c r="U73" s="18">
        <v>2023</v>
      </c>
    </row>
    <row r="74" spans="1:21" x14ac:dyDescent="0.2">
      <c r="A74" s="26" t="s">
        <v>0</v>
      </c>
      <c r="B74" s="151">
        <v>254818</v>
      </c>
      <c r="C74" s="151">
        <v>335246</v>
      </c>
      <c r="D74" s="151">
        <v>376971</v>
      </c>
      <c r="E74" s="151">
        <v>429313</v>
      </c>
      <c r="F74" s="159">
        <v>428981</v>
      </c>
      <c r="G74" s="159">
        <v>421180</v>
      </c>
      <c r="H74" s="104">
        <v>315352</v>
      </c>
      <c r="I74" s="104">
        <v>352000</v>
      </c>
      <c r="J74" s="151">
        <v>382725</v>
      </c>
      <c r="K74" s="151">
        <v>416520</v>
      </c>
      <c r="L74" s="105">
        <v>361875</v>
      </c>
      <c r="M74" s="151">
        <v>370370</v>
      </c>
      <c r="N74" s="151">
        <v>411035</v>
      </c>
      <c r="O74" s="151">
        <v>470160</v>
      </c>
      <c r="P74" s="151">
        <v>387902</v>
      </c>
      <c r="Q74" s="151">
        <v>411991</v>
      </c>
      <c r="R74" s="1">
        <v>592196</v>
      </c>
      <c r="S74" s="1">
        <v>71048</v>
      </c>
      <c r="T74" s="1">
        <v>368485</v>
      </c>
      <c r="U74" s="1">
        <v>593412</v>
      </c>
    </row>
    <row r="75" spans="1:21" x14ac:dyDescent="0.2">
      <c r="A75" s="26" t="s">
        <v>1</v>
      </c>
      <c r="B75" s="151">
        <v>281338</v>
      </c>
      <c r="C75" s="151">
        <v>378830.3</v>
      </c>
      <c r="D75" s="151">
        <f>331389+1535</f>
        <v>332924</v>
      </c>
      <c r="E75" s="151">
        <v>399382</v>
      </c>
      <c r="F75" s="159">
        <v>416021</v>
      </c>
      <c r="G75" s="159">
        <v>527807</v>
      </c>
      <c r="H75" s="104">
        <v>341134</v>
      </c>
      <c r="I75" s="104">
        <v>336857</v>
      </c>
      <c r="J75" s="104">
        <v>379048</v>
      </c>
      <c r="K75" s="104">
        <v>391682</v>
      </c>
      <c r="L75" s="105">
        <v>412890</v>
      </c>
      <c r="M75" s="104">
        <v>480543</v>
      </c>
      <c r="N75" s="104">
        <v>452781</v>
      </c>
      <c r="O75" s="104">
        <v>506994</v>
      </c>
      <c r="P75" s="104">
        <v>509568</v>
      </c>
      <c r="Q75" s="104">
        <v>397684</v>
      </c>
      <c r="R75" s="113">
        <v>599969</v>
      </c>
      <c r="S75" s="1">
        <v>78746</v>
      </c>
      <c r="T75" s="1">
        <v>267954</v>
      </c>
      <c r="U75" s="1">
        <v>470293</v>
      </c>
    </row>
    <row r="76" spans="1:21" x14ac:dyDescent="0.2">
      <c r="A76" s="26" t="s">
        <v>2</v>
      </c>
      <c r="B76" s="151">
        <v>352405</v>
      </c>
      <c r="C76" s="151">
        <v>354967</v>
      </c>
      <c r="D76" s="151">
        <v>399512</v>
      </c>
      <c r="E76" s="151">
        <v>420783</v>
      </c>
      <c r="F76" s="159">
        <v>438780</v>
      </c>
      <c r="G76" s="159">
        <v>376520</v>
      </c>
      <c r="H76" s="104">
        <v>325927</v>
      </c>
      <c r="I76" s="104">
        <v>345210</v>
      </c>
      <c r="J76" s="104">
        <v>389625</v>
      </c>
      <c r="K76" s="104">
        <v>403548</v>
      </c>
      <c r="L76" s="105">
        <v>407853</v>
      </c>
      <c r="M76" s="104">
        <v>441845</v>
      </c>
      <c r="N76" s="104">
        <v>471711</v>
      </c>
      <c r="O76" s="104">
        <v>464782</v>
      </c>
      <c r="P76" s="104">
        <v>765435</v>
      </c>
      <c r="Q76" s="104">
        <v>427601</v>
      </c>
      <c r="R76" s="113">
        <v>589269</v>
      </c>
      <c r="S76" s="1">
        <v>110918</v>
      </c>
      <c r="T76" s="1">
        <v>269735</v>
      </c>
      <c r="U76" s="1">
        <v>440565</v>
      </c>
    </row>
    <row r="77" spans="1:21" x14ac:dyDescent="0.2">
      <c r="A77" s="26" t="s">
        <v>3</v>
      </c>
      <c r="B77" s="151">
        <v>346089</v>
      </c>
      <c r="C77" s="151">
        <v>411352</v>
      </c>
      <c r="D77" s="151">
        <v>459984</v>
      </c>
      <c r="E77" s="151">
        <v>504841.19</v>
      </c>
      <c r="F77" s="159">
        <v>543385.03</v>
      </c>
      <c r="G77" s="159">
        <v>419276</v>
      </c>
      <c r="H77" s="104">
        <v>379621</v>
      </c>
      <c r="I77" s="104">
        <v>440348</v>
      </c>
      <c r="J77" s="104">
        <v>455570</v>
      </c>
      <c r="K77" s="104">
        <v>426531</v>
      </c>
      <c r="L77" s="105">
        <v>469252</v>
      </c>
      <c r="M77" s="104">
        <v>505217</v>
      </c>
      <c r="N77" s="104">
        <v>520475</v>
      </c>
      <c r="O77" s="104">
        <v>643475</v>
      </c>
      <c r="P77" s="104">
        <v>486174</v>
      </c>
      <c r="Q77" s="104">
        <v>515798</v>
      </c>
      <c r="R77" s="117">
        <v>267561</v>
      </c>
      <c r="S77" s="1">
        <v>130809</v>
      </c>
      <c r="T77" s="1">
        <v>582028</v>
      </c>
      <c r="U77" s="1">
        <v>688487</v>
      </c>
    </row>
    <row r="78" spans="1:21" x14ac:dyDescent="0.2">
      <c r="A78" s="26" t="s">
        <v>4</v>
      </c>
      <c r="B78" s="151">
        <v>391832</v>
      </c>
      <c r="C78" s="151">
        <v>459754</v>
      </c>
      <c r="D78" s="151">
        <v>534243</v>
      </c>
      <c r="E78" s="151">
        <v>501897</v>
      </c>
      <c r="F78" s="159">
        <v>611467</v>
      </c>
      <c r="G78" s="159">
        <v>482853</v>
      </c>
      <c r="H78" s="104">
        <v>476621</v>
      </c>
      <c r="I78" s="104">
        <v>506879</v>
      </c>
      <c r="J78" s="104">
        <v>497429</v>
      </c>
      <c r="K78" s="104">
        <v>564928</v>
      </c>
      <c r="L78" s="105">
        <v>579824</v>
      </c>
      <c r="M78" s="104">
        <v>666731</v>
      </c>
      <c r="N78" s="104">
        <v>725684</v>
      </c>
      <c r="O78" s="104">
        <v>684567</v>
      </c>
      <c r="P78" s="104">
        <v>623127</v>
      </c>
      <c r="Q78" s="104">
        <v>796073</v>
      </c>
      <c r="R78" s="117">
        <v>24574</v>
      </c>
      <c r="S78" s="1">
        <v>185476</v>
      </c>
      <c r="T78" s="1">
        <v>592042</v>
      </c>
      <c r="U78" s="1">
        <v>828470</v>
      </c>
    </row>
    <row r="79" spans="1:21" x14ac:dyDescent="0.2">
      <c r="A79" s="26" t="s">
        <v>5</v>
      </c>
      <c r="B79" s="151">
        <v>530219</v>
      </c>
      <c r="C79" s="151">
        <v>464652</v>
      </c>
      <c r="D79" s="151">
        <v>606408</v>
      </c>
      <c r="E79" s="151">
        <v>617450.77</v>
      </c>
      <c r="F79" s="159">
        <v>654935</v>
      </c>
      <c r="G79" s="159">
        <v>532067</v>
      </c>
      <c r="H79" s="104">
        <v>529539</v>
      </c>
      <c r="I79" s="104">
        <v>528230</v>
      </c>
      <c r="J79" s="104">
        <v>562316</v>
      </c>
      <c r="K79" s="104">
        <v>605094</v>
      </c>
      <c r="L79" s="105">
        <v>700423</v>
      </c>
      <c r="M79" s="104">
        <v>1008981</v>
      </c>
      <c r="N79" s="104">
        <v>757130</v>
      </c>
      <c r="O79" s="104">
        <v>796645</v>
      </c>
      <c r="P79" s="104">
        <v>695774</v>
      </c>
      <c r="Q79" s="104">
        <v>732853</v>
      </c>
      <c r="R79" s="113">
        <v>44699</v>
      </c>
      <c r="S79" s="1">
        <v>230343</v>
      </c>
      <c r="T79" s="1">
        <v>846463</v>
      </c>
      <c r="U79" s="1">
        <v>816994</v>
      </c>
    </row>
    <row r="80" spans="1:21" x14ac:dyDescent="0.2">
      <c r="A80" s="26" t="s">
        <v>6</v>
      </c>
      <c r="B80" s="151">
        <v>180097</v>
      </c>
      <c r="C80" s="151">
        <v>335072</v>
      </c>
      <c r="D80" s="151">
        <v>180182</v>
      </c>
      <c r="E80" s="151">
        <v>441369</v>
      </c>
      <c r="F80" s="159">
        <v>446336</v>
      </c>
      <c r="G80" s="159">
        <v>297437</v>
      </c>
      <c r="H80" s="104">
        <v>266335</v>
      </c>
      <c r="I80" s="104">
        <v>421456</v>
      </c>
      <c r="J80" s="104">
        <v>419933</v>
      </c>
      <c r="K80" s="104">
        <v>577899</v>
      </c>
      <c r="L80" s="105">
        <v>569526</v>
      </c>
      <c r="M80" s="104">
        <v>664609</v>
      </c>
      <c r="N80" s="104">
        <v>628446</v>
      </c>
      <c r="O80" s="104">
        <v>737172</v>
      </c>
      <c r="P80" s="104">
        <v>664143</v>
      </c>
      <c r="Q80" s="104">
        <v>681041</v>
      </c>
      <c r="R80" s="1">
        <v>60727</v>
      </c>
      <c r="S80" s="1">
        <v>265680</v>
      </c>
      <c r="T80" s="1">
        <v>1169047</v>
      </c>
      <c r="U80" s="1">
        <v>1175972</v>
      </c>
    </row>
    <row r="81" spans="1:21" x14ac:dyDescent="0.2">
      <c r="A81" s="26" t="s">
        <v>7</v>
      </c>
      <c r="B81" s="151">
        <v>717855</v>
      </c>
      <c r="C81" s="151">
        <v>824775</v>
      </c>
      <c r="D81" s="151">
        <v>906981</v>
      </c>
      <c r="E81" s="151">
        <v>897529.41</v>
      </c>
      <c r="F81" s="159">
        <v>713172</v>
      </c>
      <c r="G81" s="159">
        <v>727713</v>
      </c>
      <c r="H81" s="104">
        <v>874703</v>
      </c>
      <c r="I81" s="104">
        <v>919648</v>
      </c>
      <c r="J81" s="104">
        <v>903649</v>
      </c>
      <c r="K81" s="104">
        <v>822820</v>
      </c>
      <c r="L81" s="105">
        <v>1063217</v>
      </c>
      <c r="M81" s="104">
        <v>990904</v>
      </c>
      <c r="N81" s="104">
        <v>989614</v>
      </c>
      <c r="O81" s="104">
        <v>1089704</v>
      </c>
      <c r="P81" s="104">
        <v>917366</v>
      </c>
      <c r="Q81" s="104">
        <v>1012014</v>
      </c>
      <c r="R81" s="1">
        <v>116680</v>
      </c>
      <c r="S81" s="1">
        <v>443486</v>
      </c>
      <c r="T81" s="1">
        <v>950771</v>
      </c>
      <c r="U81" s="1">
        <v>1102159</v>
      </c>
    </row>
    <row r="82" spans="1:21" x14ac:dyDescent="0.2">
      <c r="A82" s="26" t="s">
        <v>8</v>
      </c>
      <c r="B82" s="151">
        <v>522230</v>
      </c>
      <c r="C82" s="151">
        <v>606748.19999999995</v>
      </c>
      <c r="D82" s="151">
        <v>591363</v>
      </c>
      <c r="E82" s="151">
        <v>691311</v>
      </c>
      <c r="F82" s="159">
        <v>730511</v>
      </c>
      <c r="G82" s="159">
        <v>483813</v>
      </c>
      <c r="H82" s="104">
        <v>711600</v>
      </c>
      <c r="I82" s="104">
        <v>674488</v>
      </c>
      <c r="J82" s="104">
        <v>661887</v>
      </c>
      <c r="K82" s="104">
        <v>655302</v>
      </c>
      <c r="L82" s="105">
        <v>809282</v>
      </c>
      <c r="M82" s="104">
        <v>785406</v>
      </c>
      <c r="N82" s="104">
        <v>899820</v>
      </c>
      <c r="O82" s="104">
        <v>899524</v>
      </c>
      <c r="P82" s="104">
        <v>822644</v>
      </c>
      <c r="Q82" s="104">
        <v>862942</v>
      </c>
      <c r="R82" s="2">
        <v>123194</v>
      </c>
      <c r="S82" s="1">
        <v>512459</v>
      </c>
      <c r="T82" s="1">
        <v>1103780</v>
      </c>
      <c r="U82" s="1">
        <v>1159411</v>
      </c>
    </row>
    <row r="83" spans="1:21" x14ac:dyDescent="0.2">
      <c r="A83" s="26" t="s">
        <v>9</v>
      </c>
      <c r="B83" s="151">
        <v>462602</v>
      </c>
      <c r="C83" s="151">
        <v>552347.81000000006</v>
      </c>
      <c r="D83" s="151">
        <v>593598</v>
      </c>
      <c r="E83" s="151">
        <v>617921</v>
      </c>
      <c r="F83" s="159">
        <v>848932</v>
      </c>
      <c r="G83" s="159">
        <v>503831</v>
      </c>
      <c r="H83" s="104">
        <v>537249</v>
      </c>
      <c r="I83" s="104">
        <v>640813</v>
      </c>
      <c r="J83" s="104">
        <v>602245</v>
      </c>
      <c r="K83" s="104">
        <v>653173</v>
      </c>
      <c r="L83" s="105">
        <v>742565</v>
      </c>
      <c r="M83" s="104">
        <v>791405</v>
      </c>
      <c r="N83" s="104">
        <v>961759</v>
      </c>
      <c r="O83" s="104">
        <v>871760</v>
      </c>
      <c r="P83" s="104">
        <v>780128</v>
      </c>
      <c r="Q83" s="104">
        <v>841426</v>
      </c>
      <c r="R83" s="1">
        <v>132230</v>
      </c>
      <c r="S83" s="1">
        <v>468311</v>
      </c>
      <c r="T83" s="1">
        <v>953716</v>
      </c>
      <c r="U83" s="1">
        <v>1309021</v>
      </c>
    </row>
    <row r="84" spans="1:21" x14ac:dyDescent="0.2">
      <c r="A84" s="26" t="s">
        <v>10</v>
      </c>
      <c r="B84" s="151">
        <v>562141</v>
      </c>
      <c r="C84" s="151">
        <v>566307.66</v>
      </c>
      <c r="D84" s="151">
        <v>649989</v>
      </c>
      <c r="E84" s="151">
        <v>713120</v>
      </c>
      <c r="F84" s="159"/>
      <c r="G84" s="159">
        <v>592213</v>
      </c>
      <c r="H84" s="104">
        <v>635920</v>
      </c>
      <c r="I84" s="104">
        <v>702932</v>
      </c>
      <c r="J84" s="104">
        <v>732104</v>
      </c>
      <c r="K84" s="104">
        <v>810831</v>
      </c>
      <c r="L84" s="105">
        <v>743941</v>
      </c>
      <c r="M84" s="104">
        <v>935599</v>
      </c>
      <c r="N84" s="104">
        <v>999648</v>
      </c>
      <c r="O84" s="104">
        <v>781626</v>
      </c>
      <c r="P84" s="104">
        <v>897899</v>
      </c>
      <c r="Q84" s="104">
        <v>1174264</v>
      </c>
      <c r="R84" s="1">
        <v>128809</v>
      </c>
      <c r="S84" s="1">
        <v>566914</v>
      </c>
      <c r="T84" s="1">
        <v>941058</v>
      </c>
      <c r="U84" s="1">
        <v>1282689</v>
      </c>
    </row>
    <row r="85" spans="1:21" x14ac:dyDescent="0.2">
      <c r="A85" s="26" t="s">
        <v>11</v>
      </c>
      <c r="B85" s="153">
        <v>412544</v>
      </c>
      <c r="C85" s="153">
        <v>453435</v>
      </c>
      <c r="D85" s="153">
        <v>472235</v>
      </c>
      <c r="E85" s="153">
        <v>508215</v>
      </c>
      <c r="F85" s="154">
        <v>908323</v>
      </c>
      <c r="G85" s="154">
        <v>396041</v>
      </c>
      <c r="H85" s="95">
        <v>447431</v>
      </c>
      <c r="I85" s="95">
        <v>473929</v>
      </c>
      <c r="J85" s="95">
        <v>486521</v>
      </c>
      <c r="K85" s="95">
        <v>496269</v>
      </c>
      <c r="L85" s="95">
        <v>526131</v>
      </c>
      <c r="M85" s="95">
        <v>657976</v>
      </c>
      <c r="N85" s="95">
        <v>476310</v>
      </c>
      <c r="O85" s="95">
        <v>511579</v>
      </c>
      <c r="P85" s="95">
        <v>482237</v>
      </c>
      <c r="Q85" s="95">
        <v>774550</v>
      </c>
      <c r="R85" s="95">
        <v>78193</v>
      </c>
      <c r="S85" s="1">
        <v>445344</v>
      </c>
      <c r="T85" s="1">
        <v>761489</v>
      </c>
      <c r="U85" s="1">
        <v>748804</v>
      </c>
    </row>
    <row r="86" spans="1:21" x14ac:dyDescent="0.2">
      <c r="B86" s="156">
        <f t="shared" ref="B86:H86" si="22">SUM(B74:B85)</f>
        <v>5014170</v>
      </c>
      <c r="C86" s="156">
        <f t="shared" si="22"/>
        <v>5743486.9700000007</v>
      </c>
      <c r="D86" s="156">
        <f t="shared" si="22"/>
        <v>6104390</v>
      </c>
      <c r="E86" s="156">
        <f t="shared" si="22"/>
        <v>6743132.3700000001</v>
      </c>
      <c r="F86" s="163">
        <f t="shared" si="22"/>
        <v>6740843.0300000003</v>
      </c>
      <c r="G86" s="163">
        <f t="shared" si="22"/>
        <v>5760751</v>
      </c>
      <c r="H86" s="163">
        <f t="shared" si="22"/>
        <v>5841432</v>
      </c>
      <c r="I86" s="163">
        <f t="shared" ref="I86:N86" si="23">SUM(I74:I85)</f>
        <v>6342790</v>
      </c>
      <c r="J86" s="163">
        <f t="shared" si="23"/>
        <v>6473052</v>
      </c>
      <c r="K86" s="163">
        <f t="shared" si="23"/>
        <v>6824597</v>
      </c>
      <c r="L86" s="96">
        <f t="shared" si="23"/>
        <v>7386779</v>
      </c>
      <c r="M86" s="96">
        <f t="shared" si="23"/>
        <v>8299586</v>
      </c>
      <c r="N86" s="96">
        <f t="shared" si="23"/>
        <v>8294413</v>
      </c>
      <c r="O86" s="96">
        <f t="shared" ref="O86:P86" si="24">SUM(O74:O85)</f>
        <v>8457988</v>
      </c>
      <c r="P86" s="96">
        <f t="shared" si="24"/>
        <v>8032397</v>
      </c>
      <c r="Q86" s="96">
        <f t="shared" ref="Q86:S86" si="25">SUM(Q74:Q85)</f>
        <v>8628237</v>
      </c>
      <c r="R86" s="126">
        <f t="shared" ref="R86" si="26">SUM(R74:R85)</f>
        <v>2758101</v>
      </c>
      <c r="S86" s="126">
        <f t="shared" si="25"/>
        <v>3509534</v>
      </c>
      <c r="T86" s="126">
        <f t="shared" ref="T86:U86" si="27">SUM(T74:T85)</f>
        <v>8806568</v>
      </c>
      <c r="U86" s="126">
        <f t="shared" si="27"/>
        <v>10616277</v>
      </c>
    </row>
    <row r="87" spans="1:21" x14ac:dyDescent="0.2">
      <c r="B87" s="151"/>
      <c r="C87" s="151"/>
      <c r="D87" s="151"/>
      <c r="E87" s="151"/>
      <c r="F87" s="163"/>
      <c r="G87" s="163"/>
      <c r="H87" s="163"/>
      <c r="I87" s="163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</row>
    <row r="88" spans="1:21" x14ac:dyDescent="0.2">
      <c r="B88" s="107"/>
      <c r="C88" s="107"/>
      <c r="D88" s="107"/>
      <c r="E88" s="107"/>
      <c r="F88" s="152"/>
      <c r="G88" s="152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</row>
    <row r="89" spans="1:21" x14ac:dyDescent="0.2">
      <c r="A89" s="29" t="s">
        <v>16</v>
      </c>
      <c r="B89" s="147">
        <v>0.03</v>
      </c>
      <c r="C89" s="107" t="s">
        <v>177</v>
      </c>
      <c r="D89" s="107"/>
      <c r="E89" s="107"/>
      <c r="F89" s="94"/>
      <c r="G89" s="94"/>
      <c r="H89" s="94"/>
      <c r="I89" s="5" t="s">
        <v>98</v>
      </c>
      <c r="J89" s="18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1:21" x14ac:dyDescent="0.2">
      <c r="B90" s="16">
        <v>2004</v>
      </c>
      <c r="C90" s="16">
        <v>2005</v>
      </c>
      <c r="D90" s="16">
        <v>2006</v>
      </c>
      <c r="E90" s="16">
        <v>2007</v>
      </c>
      <c r="F90" s="16">
        <v>2008</v>
      </c>
      <c r="G90" s="16">
        <v>2009</v>
      </c>
      <c r="H90" s="16">
        <v>2010</v>
      </c>
      <c r="I90" s="16">
        <v>2011</v>
      </c>
      <c r="J90" s="16">
        <v>2012</v>
      </c>
      <c r="K90" s="16">
        <v>2013</v>
      </c>
      <c r="L90" s="18">
        <v>2014</v>
      </c>
      <c r="M90" s="18">
        <v>2015</v>
      </c>
      <c r="N90" s="18">
        <v>2016</v>
      </c>
      <c r="O90" s="18">
        <v>2017</v>
      </c>
      <c r="P90" s="18">
        <v>2018</v>
      </c>
      <c r="Q90" s="18">
        <v>2019</v>
      </c>
      <c r="R90" s="18">
        <v>2020</v>
      </c>
      <c r="S90" s="18">
        <v>2021</v>
      </c>
      <c r="T90" s="18">
        <v>2022</v>
      </c>
      <c r="U90" s="18">
        <v>2023</v>
      </c>
    </row>
    <row r="91" spans="1:21" x14ac:dyDescent="0.2">
      <c r="A91" s="26" t="s">
        <v>0</v>
      </c>
      <c r="B91" s="151">
        <v>729892.62</v>
      </c>
      <c r="C91" s="151">
        <v>853921</v>
      </c>
      <c r="D91" s="151">
        <v>950123.88</v>
      </c>
      <c r="E91" s="151">
        <v>920219</v>
      </c>
      <c r="F91" s="159">
        <v>955881</v>
      </c>
      <c r="G91" s="159">
        <v>1002516</v>
      </c>
      <c r="H91" s="104">
        <v>840143</v>
      </c>
      <c r="I91" s="104">
        <v>862775</v>
      </c>
      <c r="J91" s="104">
        <v>1012737</v>
      </c>
      <c r="K91" s="104">
        <v>1059413</v>
      </c>
      <c r="L91" s="105">
        <v>1066282</v>
      </c>
      <c r="M91" s="151">
        <v>1012675</v>
      </c>
      <c r="N91" s="151">
        <v>1044693</v>
      </c>
      <c r="O91" s="151">
        <v>1102858</v>
      </c>
      <c r="P91" s="151">
        <v>1133099</v>
      </c>
      <c r="Q91" s="151">
        <v>1052434</v>
      </c>
      <c r="R91" s="1">
        <v>1051170</v>
      </c>
      <c r="S91" s="1">
        <v>156836</v>
      </c>
      <c r="T91" s="1">
        <v>654105</v>
      </c>
      <c r="U91" s="1">
        <v>831121</v>
      </c>
    </row>
    <row r="92" spans="1:21" x14ac:dyDescent="0.2">
      <c r="A92" s="26" t="s">
        <v>1</v>
      </c>
      <c r="B92" s="151">
        <v>577009.14</v>
      </c>
      <c r="C92" s="151">
        <v>634925.74</v>
      </c>
      <c r="D92" s="151">
        <v>757557.79</v>
      </c>
      <c r="E92" s="151">
        <v>778694.53</v>
      </c>
      <c r="F92" s="159">
        <v>807301</v>
      </c>
      <c r="G92" s="159">
        <v>842601</v>
      </c>
      <c r="H92" s="104">
        <v>691381</v>
      </c>
      <c r="I92" s="104">
        <v>669204</v>
      </c>
      <c r="J92" s="104">
        <v>820040</v>
      </c>
      <c r="K92" s="104">
        <v>794250</v>
      </c>
      <c r="L92" s="105">
        <v>824174</v>
      </c>
      <c r="M92" s="104">
        <v>928909</v>
      </c>
      <c r="N92" s="104">
        <v>944782</v>
      </c>
      <c r="O92" s="104">
        <v>1054643</v>
      </c>
      <c r="P92" s="104">
        <v>1148315</v>
      </c>
      <c r="Q92" s="104">
        <v>907588</v>
      </c>
      <c r="R92" s="113">
        <v>993565</v>
      </c>
      <c r="S92" s="1">
        <v>214779</v>
      </c>
      <c r="T92" s="1">
        <v>428652</v>
      </c>
      <c r="U92" s="1">
        <v>792583</v>
      </c>
    </row>
    <row r="93" spans="1:21" x14ac:dyDescent="0.2">
      <c r="A93" s="26" t="s">
        <v>2</v>
      </c>
      <c r="B93" s="151">
        <v>630777</v>
      </c>
      <c r="C93" s="151">
        <v>1085928.3600000001</v>
      </c>
      <c r="D93" s="151">
        <v>668264.21</v>
      </c>
      <c r="E93" s="151">
        <v>702294.6</v>
      </c>
      <c r="F93" s="159">
        <v>768695.34</v>
      </c>
      <c r="G93" s="159">
        <v>691805</v>
      </c>
      <c r="H93" s="104">
        <v>665433</v>
      </c>
      <c r="I93" s="104">
        <v>730121</v>
      </c>
      <c r="J93" s="104">
        <v>824181</v>
      </c>
      <c r="K93" s="104">
        <v>816130</v>
      </c>
      <c r="L93" s="105">
        <v>846681</v>
      </c>
      <c r="M93" s="104">
        <v>829044</v>
      </c>
      <c r="N93" s="104">
        <v>867304</v>
      </c>
      <c r="O93" s="104">
        <v>984159</v>
      </c>
      <c r="P93" s="104">
        <v>1299880</v>
      </c>
      <c r="Q93" s="104">
        <v>1143282</v>
      </c>
      <c r="R93" s="1">
        <v>881561</v>
      </c>
      <c r="S93" s="1">
        <v>246924</v>
      </c>
      <c r="T93" s="1">
        <v>601261</v>
      </c>
      <c r="U93" s="1">
        <v>717955</v>
      </c>
    </row>
    <row r="94" spans="1:21" x14ac:dyDescent="0.2">
      <c r="A94" s="26" t="s">
        <v>3</v>
      </c>
      <c r="B94" s="151">
        <v>678665.31</v>
      </c>
      <c r="C94" s="151">
        <v>728290</v>
      </c>
      <c r="D94" s="151">
        <v>770890.58</v>
      </c>
      <c r="E94" s="151">
        <v>834856.02</v>
      </c>
      <c r="F94" s="159">
        <v>928093.63</v>
      </c>
      <c r="G94" s="159">
        <v>749227</v>
      </c>
      <c r="H94" s="104">
        <v>788354</v>
      </c>
      <c r="I94" s="104">
        <v>814865</v>
      </c>
      <c r="J94" s="104">
        <v>880236</v>
      </c>
      <c r="K94" s="104">
        <v>825835</v>
      </c>
      <c r="L94" s="105">
        <v>874051</v>
      </c>
      <c r="M94" s="104">
        <v>1151211</v>
      </c>
      <c r="N94" s="104">
        <v>931584</v>
      </c>
      <c r="O94" s="104">
        <v>994042</v>
      </c>
      <c r="P94" s="104">
        <v>1041527</v>
      </c>
      <c r="Q94" s="104">
        <v>1027268</v>
      </c>
      <c r="R94" s="1">
        <v>463517</v>
      </c>
      <c r="S94" s="1">
        <v>351191</v>
      </c>
      <c r="T94" s="1">
        <v>662560</v>
      </c>
      <c r="U94" s="1">
        <v>880406</v>
      </c>
    </row>
    <row r="95" spans="1:21" x14ac:dyDescent="0.2">
      <c r="A95" s="26" t="s">
        <v>4</v>
      </c>
      <c r="B95" s="151">
        <v>695764</v>
      </c>
      <c r="C95" s="151">
        <v>773601</v>
      </c>
      <c r="D95" s="151">
        <v>762475</v>
      </c>
      <c r="E95" s="151">
        <v>817560.83</v>
      </c>
      <c r="F95" s="159">
        <v>978252.34</v>
      </c>
      <c r="G95" s="159">
        <v>801535</v>
      </c>
      <c r="H95" s="165">
        <v>868980</v>
      </c>
      <c r="I95" s="165">
        <v>947126</v>
      </c>
      <c r="J95" s="165">
        <v>927804</v>
      </c>
      <c r="K95" s="165">
        <v>986890</v>
      </c>
      <c r="L95" s="105">
        <v>892179</v>
      </c>
      <c r="M95" s="104">
        <v>1015676</v>
      </c>
      <c r="N95" s="104">
        <v>1134493</v>
      </c>
      <c r="O95" s="104">
        <v>1056141</v>
      </c>
      <c r="P95" s="104">
        <v>1108069</v>
      </c>
      <c r="Q95" s="104">
        <v>1224705</v>
      </c>
      <c r="R95" s="117">
        <v>73445</v>
      </c>
      <c r="S95" s="1">
        <v>402337</v>
      </c>
      <c r="T95" s="1">
        <v>848942</v>
      </c>
      <c r="U95" s="1">
        <v>1128274</v>
      </c>
    </row>
    <row r="96" spans="1:21" x14ac:dyDescent="0.2">
      <c r="A96" s="26" t="s">
        <v>5</v>
      </c>
      <c r="B96" s="151">
        <v>741968.88</v>
      </c>
      <c r="C96" s="151">
        <v>862807.12</v>
      </c>
      <c r="D96" s="151">
        <v>828195.75</v>
      </c>
      <c r="E96" s="151">
        <v>921960</v>
      </c>
      <c r="F96" s="159">
        <v>968280</v>
      </c>
      <c r="G96" s="159">
        <v>867795</v>
      </c>
      <c r="H96" s="104">
        <v>1084371</v>
      </c>
      <c r="I96" s="104">
        <v>942799</v>
      </c>
      <c r="J96" s="104">
        <v>999166</v>
      </c>
      <c r="K96" s="104">
        <v>1064886</v>
      </c>
      <c r="L96" s="105">
        <v>1127217</v>
      </c>
      <c r="M96" s="104">
        <v>1052437</v>
      </c>
      <c r="N96" s="104">
        <v>1165338</v>
      </c>
      <c r="O96" s="104">
        <v>1130543</v>
      </c>
      <c r="P96" s="104">
        <v>1237122</v>
      </c>
      <c r="Q96" s="104">
        <v>1279208</v>
      </c>
      <c r="R96" s="113">
        <v>94753</v>
      </c>
      <c r="S96" s="1">
        <v>507710</v>
      </c>
      <c r="T96" s="1">
        <v>1085329</v>
      </c>
      <c r="U96" s="1">
        <v>1130036</v>
      </c>
    </row>
    <row r="97" spans="1:21" x14ac:dyDescent="0.2">
      <c r="A97" s="26" t="s">
        <v>6</v>
      </c>
      <c r="B97" s="151">
        <v>465928</v>
      </c>
      <c r="C97" s="151">
        <v>552910.64</v>
      </c>
      <c r="D97" s="151">
        <v>619536.1</v>
      </c>
      <c r="E97" s="151">
        <v>694332</v>
      </c>
      <c r="F97" s="159">
        <v>645548.81000000006</v>
      </c>
      <c r="G97" s="152">
        <v>554200</v>
      </c>
      <c r="H97" s="104">
        <v>735106</v>
      </c>
      <c r="I97" s="104">
        <v>838538</v>
      </c>
      <c r="J97" s="104">
        <v>890508</v>
      </c>
      <c r="K97" s="104">
        <v>923158</v>
      </c>
      <c r="L97" s="105">
        <v>1036179</v>
      </c>
      <c r="M97" s="104">
        <v>1093737</v>
      </c>
      <c r="N97" s="104">
        <v>1106163</v>
      </c>
      <c r="O97" s="104">
        <v>1047087</v>
      </c>
      <c r="P97" s="104">
        <v>1177952</v>
      </c>
      <c r="Q97" s="104">
        <v>1179607</v>
      </c>
      <c r="R97" s="1">
        <v>114347</v>
      </c>
      <c r="S97" s="1">
        <v>511902</v>
      </c>
      <c r="T97" s="1">
        <v>1205691</v>
      </c>
      <c r="U97" s="1">
        <v>1263738</v>
      </c>
    </row>
    <row r="98" spans="1:21" x14ac:dyDescent="0.2">
      <c r="A98" s="26" t="s">
        <v>7</v>
      </c>
      <c r="B98" s="151">
        <v>1121419.05</v>
      </c>
      <c r="C98" s="151">
        <v>1091348.23</v>
      </c>
      <c r="D98" s="151">
        <v>1189837.25</v>
      </c>
      <c r="E98" s="151">
        <v>1269187.68</v>
      </c>
      <c r="F98" s="159">
        <v>1174749.28</v>
      </c>
      <c r="G98" s="152">
        <v>1058464</v>
      </c>
      <c r="H98" s="104">
        <v>1161399</v>
      </c>
      <c r="I98" s="104">
        <v>1282138</v>
      </c>
      <c r="J98" s="104">
        <v>1197244</v>
      </c>
      <c r="K98" s="104">
        <v>1165620</v>
      </c>
      <c r="L98" s="105">
        <v>1356705</v>
      </c>
      <c r="M98" s="104">
        <v>1253719</v>
      </c>
      <c r="N98" s="104">
        <v>1272165</v>
      </c>
      <c r="O98" s="104">
        <v>1391593</v>
      </c>
      <c r="P98" s="104">
        <v>1423018</v>
      </c>
      <c r="Q98" s="104">
        <v>1449074</v>
      </c>
      <c r="R98" s="1">
        <v>271878</v>
      </c>
      <c r="S98" s="1">
        <v>806619</v>
      </c>
      <c r="T98" s="1">
        <v>1028381</v>
      </c>
      <c r="U98" s="1">
        <v>1152951</v>
      </c>
    </row>
    <row r="99" spans="1:21" x14ac:dyDescent="0.2">
      <c r="A99" s="26" t="s">
        <v>8</v>
      </c>
      <c r="B99" s="151">
        <v>885666.26</v>
      </c>
      <c r="C99" s="151">
        <v>791574</v>
      </c>
      <c r="D99" s="151">
        <v>916932.01</v>
      </c>
      <c r="E99" s="151">
        <v>932642</v>
      </c>
      <c r="F99" s="159">
        <v>996157.76</v>
      </c>
      <c r="G99" s="152">
        <v>834307</v>
      </c>
      <c r="H99" s="104">
        <v>978788</v>
      </c>
      <c r="I99" s="104">
        <v>1126306</v>
      </c>
      <c r="J99" s="104">
        <v>1026223</v>
      </c>
      <c r="K99" s="104">
        <v>1083115</v>
      </c>
      <c r="L99" s="105">
        <v>1089648</v>
      </c>
      <c r="M99" s="104">
        <v>1137339</v>
      </c>
      <c r="N99" s="104">
        <v>1170185</v>
      </c>
      <c r="O99" s="104">
        <v>1213575</v>
      </c>
      <c r="P99" s="104">
        <v>1286515</v>
      </c>
      <c r="Q99" s="104">
        <v>1454480</v>
      </c>
      <c r="R99" s="2">
        <v>244634</v>
      </c>
      <c r="S99" s="1">
        <v>776382</v>
      </c>
      <c r="T99" s="1">
        <v>1167738</v>
      </c>
      <c r="U99" s="1">
        <v>1271083</v>
      </c>
    </row>
    <row r="100" spans="1:21" x14ac:dyDescent="0.2">
      <c r="A100" s="26" t="s">
        <v>9</v>
      </c>
      <c r="B100" s="151">
        <v>881820</v>
      </c>
      <c r="C100" s="151">
        <v>918392.94</v>
      </c>
      <c r="D100" s="151">
        <v>1099320.42</v>
      </c>
      <c r="E100" s="151">
        <v>1014154.61</v>
      </c>
      <c r="F100" s="159">
        <v>1154049</v>
      </c>
      <c r="G100" s="152">
        <v>896955</v>
      </c>
      <c r="H100" s="104">
        <v>1168648</v>
      </c>
      <c r="I100" s="104">
        <v>1115906</v>
      </c>
      <c r="J100" s="104">
        <v>1114826</v>
      </c>
      <c r="K100" s="104">
        <v>1152010</v>
      </c>
      <c r="L100" s="105">
        <v>1408401</v>
      </c>
      <c r="M100" s="104">
        <v>1161124</v>
      </c>
      <c r="N100" s="104">
        <v>1215435</v>
      </c>
      <c r="O100" s="104">
        <v>1279546</v>
      </c>
      <c r="P100" s="104">
        <v>1270208</v>
      </c>
      <c r="Q100" s="104">
        <v>1381935</v>
      </c>
      <c r="R100" s="1">
        <v>311303</v>
      </c>
      <c r="S100" s="1">
        <v>742736</v>
      </c>
      <c r="T100" s="1">
        <v>1058421</v>
      </c>
      <c r="U100" s="1">
        <v>1444000</v>
      </c>
    </row>
    <row r="101" spans="1:21" x14ac:dyDescent="0.2">
      <c r="A101" s="26" t="s">
        <v>10</v>
      </c>
      <c r="B101" s="151">
        <v>848855.5</v>
      </c>
      <c r="C101" s="151">
        <v>816041</v>
      </c>
      <c r="D101" s="151">
        <v>920133.53</v>
      </c>
      <c r="E101" s="151">
        <v>921665</v>
      </c>
      <c r="F101" s="159"/>
      <c r="G101" s="152">
        <v>990873</v>
      </c>
      <c r="H101" s="104">
        <v>743081</v>
      </c>
      <c r="I101" s="104">
        <v>994849</v>
      </c>
      <c r="J101" s="104">
        <v>1048269</v>
      </c>
      <c r="K101" s="104">
        <v>1236900</v>
      </c>
      <c r="L101" s="105">
        <v>1048931</v>
      </c>
      <c r="M101" s="104">
        <v>1219935</v>
      </c>
      <c r="N101" s="104">
        <v>1225207</v>
      </c>
      <c r="O101" s="104">
        <v>1259852</v>
      </c>
      <c r="P101" s="104">
        <v>1316667</v>
      </c>
      <c r="Q101" s="104">
        <v>1225627</v>
      </c>
      <c r="R101" s="1">
        <v>255315</v>
      </c>
      <c r="S101" s="1">
        <v>697852</v>
      </c>
      <c r="T101" s="1">
        <v>990613</v>
      </c>
      <c r="U101" s="1">
        <v>1230405</v>
      </c>
    </row>
    <row r="102" spans="1:21" x14ac:dyDescent="0.2">
      <c r="A102" s="26" t="s">
        <v>11</v>
      </c>
      <c r="B102" s="153">
        <v>703536.34</v>
      </c>
      <c r="C102" s="153">
        <v>760660.15</v>
      </c>
      <c r="D102" s="153">
        <v>775140</v>
      </c>
      <c r="E102" s="153">
        <v>799454.93</v>
      </c>
      <c r="F102" s="154">
        <v>1560625</v>
      </c>
      <c r="G102" s="155">
        <v>784457</v>
      </c>
      <c r="H102" s="95">
        <v>784325</v>
      </c>
      <c r="I102" s="95">
        <v>832914</v>
      </c>
      <c r="J102" s="95">
        <v>877001</v>
      </c>
      <c r="K102" s="95">
        <v>901071</v>
      </c>
      <c r="L102" s="95">
        <v>894145</v>
      </c>
      <c r="M102" s="95">
        <v>990340</v>
      </c>
      <c r="N102" s="95">
        <v>998961</v>
      </c>
      <c r="O102" s="95">
        <v>1036407</v>
      </c>
      <c r="P102" s="95">
        <v>966186</v>
      </c>
      <c r="Q102" s="95">
        <v>1037166</v>
      </c>
      <c r="R102" s="95">
        <v>231255</v>
      </c>
      <c r="S102" s="1">
        <v>621233</v>
      </c>
      <c r="T102" s="1">
        <v>849836</v>
      </c>
      <c r="U102" s="1">
        <v>933468</v>
      </c>
    </row>
    <row r="103" spans="1:21" x14ac:dyDescent="0.2">
      <c r="B103" s="156">
        <f t="shared" ref="B103:H103" si="28">SUM(B91:B102)</f>
        <v>8961302.0999999996</v>
      </c>
      <c r="C103" s="156">
        <f t="shared" si="28"/>
        <v>9870400.1799999997</v>
      </c>
      <c r="D103" s="156">
        <f t="shared" si="28"/>
        <v>10258406.519999998</v>
      </c>
      <c r="E103" s="156">
        <f t="shared" si="28"/>
        <v>10607021.199999999</v>
      </c>
      <c r="F103" s="163">
        <f t="shared" si="28"/>
        <v>10937633.16</v>
      </c>
      <c r="G103" s="163">
        <f t="shared" si="28"/>
        <v>10074735</v>
      </c>
      <c r="H103" s="163">
        <f t="shared" si="28"/>
        <v>10510009</v>
      </c>
      <c r="I103" s="163">
        <f t="shared" ref="I103:N103" si="29">SUM(I91:I102)</f>
        <v>11157541</v>
      </c>
      <c r="J103" s="163">
        <f t="shared" si="29"/>
        <v>11618235</v>
      </c>
      <c r="K103" s="163">
        <f t="shared" si="29"/>
        <v>12009278</v>
      </c>
      <c r="L103" s="96">
        <f t="shared" si="29"/>
        <v>12464593</v>
      </c>
      <c r="M103" s="96">
        <f t="shared" si="29"/>
        <v>12846146</v>
      </c>
      <c r="N103" s="96">
        <f t="shared" si="29"/>
        <v>13076310</v>
      </c>
      <c r="O103" s="96">
        <f t="shared" ref="O103:P103" si="30">SUM(O91:O102)</f>
        <v>13550446</v>
      </c>
      <c r="P103" s="96">
        <f t="shared" si="30"/>
        <v>14408558</v>
      </c>
      <c r="Q103" s="96">
        <f t="shared" ref="Q103:S103" si="31">SUM(Q91:Q102)</f>
        <v>14362374</v>
      </c>
      <c r="R103" s="126">
        <f t="shared" ref="R103" si="32">SUM(R91:R102)</f>
        <v>4986743</v>
      </c>
      <c r="S103" s="126">
        <f t="shared" si="31"/>
        <v>6036501</v>
      </c>
      <c r="T103" s="126">
        <f t="shared" ref="T103:U103" si="33">SUM(T91:T102)</f>
        <v>10581529</v>
      </c>
      <c r="U103" s="126">
        <f t="shared" si="33"/>
        <v>12776020</v>
      </c>
    </row>
    <row r="104" spans="1:21" x14ac:dyDescent="0.2">
      <c r="B104" s="107"/>
      <c r="C104" s="107"/>
      <c r="D104" s="107"/>
      <c r="E104" s="107"/>
      <c r="F104" s="152"/>
      <c r="G104" s="152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</row>
    <row r="105" spans="1:21" x14ac:dyDescent="0.2">
      <c r="B105" s="107"/>
      <c r="C105" s="107"/>
      <c r="D105" s="107"/>
      <c r="E105" s="107"/>
      <c r="F105" s="94"/>
      <c r="G105" s="94"/>
      <c r="H105" s="94"/>
      <c r="I105" s="5" t="s">
        <v>99</v>
      </c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</row>
    <row r="106" spans="1:21" x14ac:dyDescent="0.2">
      <c r="A106" s="24" t="s">
        <v>17</v>
      </c>
      <c r="B106" s="147">
        <v>0.03</v>
      </c>
      <c r="C106" s="107" t="s">
        <v>178</v>
      </c>
      <c r="D106" s="107"/>
      <c r="E106" s="107"/>
      <c r="F106" s="94"/>
      <c r="G106" s="94"/>
      <c r="H106" s="94"/>
      <c r="I106" s="5" t="s">
        <v>97</v>
      </c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</row>
    <row r="107" spans="1:21" x14ac:dyDescent="0.2">
      <c r="B107" s="16">
        <v>2004</v>
      </c>
      <c r="C107" s="16">
        <v>2005</v>
      </c>
      <c r="D107" s="16">
        <v>2006</v>
      </c>
      <c r="E107" s="16">
        <v>2007</v>
      </c>
      <c r="F107" s="16">
        <v>2008</v>
      </c>
      <c r="G107" s="16">
        <v>2009</v>
      </c>
      <c r="H107" s="16">
        <v>2010</v>
      </c>
      <c r="I107" s="16">
        <v>2011</v>
      </c>
      <c r="J107" s="18">
        <v>2012</v>
      </c>
      <c r="K107" s="18">
        <v>2013</v>
      </c>
      <c r="L107" s="18">
        <v>2014</v>
      </c>
      <c r="M107" s="18">
        <v>2015</v>
      </c>
      <c r="N107" s="18">
        <v>2016</v>
      </c>
      <c r="O107" s="18">
        <v>2017</v>
      </c>
      <c r="P107" s="18">
        <v>2018</v>
      </c>
      <c r="Q107" s="18">
        <v>2019</v>
      </c>
      <c r="R107" s="18">
        <v>2020</v>
      </c>
      <c r="S107" s="18">
        <v>2021</v>
      </c>
      <c r="T107" s="18">
        <v>2022</v>
      </c>
      <c r="U107" s="18">
        <v>2023</v>
      </c>
    </row>
    <row r="108" spans="1:21" x14ac:dyDescent="0.2">
      <c r="A108" s="26" t="s">
        <v>0</v>
      </c>
      <c r="B108" s="151">
        <v>570420</v>
      </c>
      <c r="C108" s="151">
        <v>745801.43</v>
      </c>
      <c r="D108" s="151">
        <v>778638.77</v>
      </c>
      <c r="E108" s="151">
        <v>763423.75</v>
      </c>
      <c r="F108" s="159">
        <v>696929.62</v>
      </c>
      <c r="G108" s="159">
        <v>793915</v>
      </c>
      <c r="H108" s="104">
        <v>566550</v>
      </c>
      <c r="I108" s="104">
        <v>727614</v>
      </c>
      <c r="J108" s="151">
        <v>774404</v>
      </c>
      <c r="K108" s="151">
        <v>987185</v>
      </c>
      <c r="L108" s="105">
        <v>816397</v>
      </c>
      <c r="M108" s="151">
        <v>1117019</v>
      </c>
      <c r="N108" s="151">
        <v>1276874</v>
      </c>
      <c r="O108" s="151">
        <v>1533118</v>
      </c>
      <c r="P108" s="151">
        <v>1627964</v>
      </c>
      <c r="Q108" s="151">
        <v>1576899</v>
      </c>
      <c r="R108" s="1">
        <v>2159627</v>
      </c>
      <c r="S108" s="1">
        <v>98704</v>
      </c>
      <c r="T108" s="1">
        <v>1988274</v>
      </c>
      <c r="U108" s="1">
        <v>2139496</v>
      </c>
    </row>
    <row r="109" spans="1:21" x14ac:dyDescent="0.2">
      <c r="A109" s="26" t="s">
        <v>1</v>
      </c>
      <c r="B109" s="151">
        <v>817619.88</v>
      </c>
      <c r="C109" s="151">
        <v>764829.98</v>
      </c>
      <c r="D109" s="151">
        <f>641327+1535</f>
        <v>642862</v>
      </c>
      <c r="E109" s="151">
        <v>753103.32</v>
      </c>
      <c r="F109" s="159">
        <v>693095</v>
      </c>
      <c r="G109" s="159">
        <v>855137</v>
      </c>
      <c r="H109" s="104">
        <v>588715</v>
      </c>
      <c r="I109" s="104">
        <v>639898</v>
      </c>
      <c r="J109" s="104">
        <v>742608</v>
      </c>
      <c r="K109" s="104">
        <v>704621</v>
      </c>
      <c r="L109" s="105">
        <v>867917</v>
      </c>
      <c r="M109" s="104">
        <v>1485898</v>
      </c>
      <c r="N109" s="104">
        <v>1077974</v>
      </c>
      <c r="O109" s="104">
        <v>1287372</v>
      </c>
      <c r="P109" s="104">
        <v>1599368</v>
      </c>
      <c r="Q109" s="104">
        <v>1056706</v>
      </c>
      <c r="R109" s="1">
        <v>1217517</v>
      </c>
      <c r="S109" s="1">
        <v>23931</v>
      </c>
      <c r="T109" s="1">
        <v>1582249</v>
      </c>
      <c r="U109" s="1">
        <v>2116194</v>
      </c>
    </row>
    <row r="110" spans="1:21" x14ac:dyDescent="0.2">
      <c r="A110" s="26" t="s">
        <v>2</v>
      </c>
      <c r="B110" s="151">
        <v>669500</v>
      </c>
      <c r="C110" s="151">
        <v>825965.34</v>
      </c>
      <c r="D110" s="151">
        <v>734277.76</v>
      </c>
      <c r="E110" s="151">
        <v>763534.86</v>
      </c>
      <c r="F110" s="159">
        <v>775384.19</v>
      </c>
      <c r="G110" s="159">
        <v>598137</v>
      </c>
      <c r="H110" s="104">
        <v>737456</v>
      </c>
      <c r="I110" s="104">
        <v>874829</v>
      </c>
      <c r="J110" s="104">
        <v>669884</v>
      </c>
      <c r="K110" s="104">
        <v>720067</v>
      </c>
      <c r="L110" s="105">
        <v>840093</v>
      </c>
      <c r="M110" s="104">
        <v>848148</v>
      </c>
      <c r="N110" s="104">
        <v>1132228</v>
      </c>
      <c r="O110" s="104">
        <v>1035052</v>
      </c>
      <c r="P110" s="104">
        <v>1757188</v>
      </c>
      <c r="Q110" s="104">
        <v>1377642</v>
      </c>
      <c r="R110" s="1">
        <v>1116748</v>
      </c>
      <c r="S110" s="1">
        <v>200553</v>
      </c>
      <c r="T110" s="1">
        <v>1063706</v>
      </c>
      <c r="U110" s="1">
        <v>1178074</v>
      </c>
    </row>
    <row r="111" spans="1:21" x14ac:dyDescent="0.2">
      <c r="A111" s="26" t="s">
        <v>3</v>
      </c>
      <c r="B111" s="151">
        <v>712887</v>
      </c>
      <c r="C111" s="151">
        <v>729455</v>
      </c>
      <c r="D111" s="151">
        <v>786508.62</v>
      </c>
      <c r="E111" s="151">
        <v>842373.95</v>
      </c>
      <c r="F111" s="159">
        <v>799611</v>
      </c>
      <c r="G111" s="159">
        <v>658608</v>
      </c>
      <c r="H111" s="104">
        <v>736603</v>
      </c>
      <c r="I111" s="104">
        <v>863822</v>
      </c>
      <c r="J111" s="104">
        <v>1071163</v>
      </c>
      <c r="K111" s="104">
        <v>902553</v>
      </c>
      <c r="L111" s="105">
        <v>979117</v>
      </c>
      <c r="M111" s="104">
        <v>1121955</v>
      </c>
      <c r="N111" s="104">
        <v>1172325</v>
      </c>
      <c r="O111" s="104">
        <v>1260675</v>
      </c>
      <c r="P111" s="104">
        <v>1256045</v>
      </c>
      <c r="Q111" s="104">
        <v>1607889</v>
      </c>
      <c r="R111" s="1">
        <v>585593</v>
      </c>
      <c r="S111" s="1">
        <v>326168</v>
      </c>
      <c r="T111" s="1">
        <v>1418777</v>
      </c>
      <c r="U111" s="1">
        <v>1439525</v>
      </c>
    </row>
    <row r="112" spans="1:21" x14ac:dyDescent="0.2">
      <c r="A112" s="26" t="s">
        <v>4</v>
      </c>
      <c r="B112" s="151">
        <v>782513.48</v>
      </c>
      <c r="C112" s="151">
        <v>801832.15</v>
      </c>
      <c r="D112" s="151">
        <v>843789</v>
      </c>
      <c r="E112" s="151">
        <v>784686</v>
      </c>
      <c r="F112" s="159">
        <v>817141.09</v>
      </c>
      <c r="G112" s="159">
        <v>802604</v>
      </c>
      <c r="H112" s="104">
        <v>1322127</v>
      </c>
      <c r="I112" s="104">
        <v>1355378</v>
      </c>
      <c r="J112" s="104">
        <v>1392630</v>
      </c>
      <c r="K112" s="104">
        <v>1337560</v>
      </c>
      <c r="L112" s="105">
        <v>1278304</v>
      </c>
      <c r="M112" s="104">
        <v>1387957</v>
      </c>
      <c r="N112" s="104">
        <v>1507730</v>
      </c>
      <c r="O112" s="104">
        <v>1390573</v>
      </c>
      <c r="P112" s="104">
        <v>1661254</v>
      </c>
      <c r="Q112" s="104">
        <v>2586730</v>
      </c>
      <c r="R112" s="1">
        <v>79318</v>
      </c>
      <c r="S112" s="1">
        <v>499340</v>
      </c>
      <c r="T112" s="1">
        <v>1583584</v>
      </c>
      <c r="U112" s="1">
        <v>1974288</v>
      </c>
    </row>
    <row r="113" spans="1:21" x14ac:dyDescent="0.2">
      <c r="A113" s="26" t="s">
        <v>5</v>
      </c>
      <c r="B113" s="151">
        <v>957437.31</v>
      </c>
      <c r="C113" s="151">
        <v>650961</v>
      </c>
      <c r="D113" s="151">
        <f>770840-59</f>
        <v>770781</v>
      </c>
      <c r="E113" s="151">
        <v>990604.29</v>
      </c>
      <c r="F113" s="159">
        <v>815603</v>
      </c>
      <c r="G113" s="159">
        <v>992792</v>
      </c>
      <c r="H113" s="104">
        <v>1706154</v>
      </c>
      <c r="I113" s="104">
        <v>1359415</v>
      </c>
      <c r="J113" s="104">
        <v>1488484</v>
      </c>
      <c r="K113" s="104">
        <v>1382437</v>
      </c>
      <c r="L113" s="105">
        <v>1483083</v>
      </c>
      <c r="M113" s="104">
        <v>2178800</v>
      </c>
      <c r="N113" s="104">
        <v>1811443</v>
      </c>
      <c r="O113" s="104">
        <v>1593449</v>
      </c>
      <c r="P113" s="104">
        <v>1733406</v>
      </c>
      <c r="Q113" s="104">
        <v>2109550</v>
      </c>
      <c r="R113" s="113">
        <v>-972198</v>
      </c>
      <c r="S113" s="1">
        <v>628804</v>
      </c>
      <c r="T113" s="1">
        <v>1686975</v>
      </c>
      <c r="U113" s="1">
        <v>-778902</v>
      </c>
    </row>
    <row r="114" spans="1:21" x14ac:dyDescent="0.2">
      <c r="A114" s="26" t="s">
        <v>6</v>
      </c>
      <c r="B114" s="151">
        <v>304201.71000000002</v>
      </c>
      <c r="C114" s="151">
        <v>464409.48</v>
      </c>
      <c r="D114" s="151">
        <v>381890.48</v>
      </c>
      <c r="E114" s="151">
        <v>573015</v>
      </c>
      <c r="F114" s="159">
        <v>596061.76</v>
      </c>
      <c r="G114" s="159">
        <v>397126</v>
      </c>
      <c r="H114" s="104">
        <v>892074</v>
      </c>
      <c r="I114" s="104">
        <v>1076567</v>
      </c>
      <c r="J114" s="104">
        <v>1170148</v>
      </c>
      <c r="K114" s="104">
        <v>1413546</v>
      </c>
      <c r="L114" s="105">
        <v>1318733</v>
      </c>
      <c r="M114" s="104">
        <v>1914102</v>
      </c>
      <c r="N114" s="104">
        <v>1468720</v>
      </c>
      <c r="O114" s="104">
        <v>1361504</v>
      </c>
      <c r="P114" s="104">
        <v>1944301</v>
      </c>
      <c r="Q114" s="104">
        <v>1832883</v>
      </c>
      <c r="R114" s="1">
        <v>150143</v>
      </c>
      <c r="S114" s="1">
        <v>846414</v>
      </c>
      <c r="T114" s="1">
        <v>2210640</v>
      </c>
      <c r="U114" s="1">
        <v>3408308</v>
      </c>
    </row>
    <row r="115" spans="1:21" x14ac:dyDescent="0.2">
      <c r="A115" s="26" t="s">
        <v>7</v>
      </c>
      <c r="B115" s="151">
        <v>831651.94</v>
      </c>
      <c r="C115" s="151">
        <v>1043592.99</v>
      </c>
      <c r="D115" s="151">
        <v>1193386.32</v>
      </c>
      <c r="E115" s="151">
        <v>1212986.8700000001</v>
      </c>
      <c r="F115" s="159">
        <v>971244.11</v>
      </c>
      <c r="G115" s="159">
        <v>1098888</v>
      </c>
      <c r="H115" s="104">
        <v>1734174</v>
      </c>
      <c r="I115" s="104">
        <v>2481845</v>
      </c>
      <c r="J115" s="104">
        <v>2092648</v>
      </c>
      <c r="K115" s="104">
        <v>1880567</v>
      </c>
      <c r="L115" s="105">
        <v>2840798</v>
      </c>
      <c r="M115" s="104">
        <v>2360578</v>
      </c>
      <c r="N115" s="104">
        <v>1982676</v>
      </c>
      <c r="O115" s="104">
        <v>2507210</v>
      </c>
      <c r="P115" s="104">
        <v>2168427</v>
      </c>
      <c r="Q115" s="104">
        <v>2388108</v>
      </c>
      <c r="R115" s="1">
        <v>414613</v>
      </c>
      <c r="S115" s="1">
        <v>1037133</v>
      </c>
      <c r="T115" s="1">
        <v>1726130</v>
      </c>
      <c r="U115" s="1">
        <v>2304772</v>
      </c>
    </row>
    <row r="116" spans="1:21" x14ac:dyDescent="0.2">
      <c r="A116" s="26" t="s">
        <v>8</v>
      </c>
      <c r="B116" s="151">
        <v>790793</v>
      </c>
      <c r="C116" s="151">
        <v>949247.11</v>
      </c>
      <c r="D116" s="151">
        <v>2034407.26</v>
      </c>
      <c r="E116" s="151">
        <v>858604</v>
      </c>
      <c r="F116" s="159">
        <v>1187519.95</v>
      </c>
      <c r="G116" s="159">
        <v>705229</v>
      </c>
      <c r="H116" s="104">
        <v>1435959</v>
      </c>
      <c r="I116" s="104">
        <v>1646579</v>
      </c>
      <c r="J116" s="104">
        <v>1332996</v>
      </c>
      <c r="K116" s="104">
        <v>1481021</v>
      </c>
      <c r="L116" s="105">
        <v>2003601</v>
      </c>
      <c r="M116" s="104">
        <v>1693950</v>
      </c>
      <c r="N116" s="104">
        <v>2161182</v>
      </c>
      <c r="O116" s="104">
        <v>2226559</v>
      </c>
      <c r="P116" s="104">
        <v>2436264</v>
      </c>
      <c r="Q116" s="104">
        <v>2416742</v>
      </c>
      <c r="R116" s="2">
        <v>237420</v>
      </c>
      <c r="S116" s="1">
        <v>1280929</v>
      </c>
      <c r="T116" s="1">
        <v>2648396</v>
      </c>
      <c r="U116" s="1">
        <v>2937491</v>
      </c>
    </row>
    <row r="117" spans="1:21" x14ac:dyDescent="0.2">
      <c r="A117" s="26" t="s">
        <v>9</v>
      </c>
      <c r="B117" s="151">
        <v>655363</v>
      </c>
      <c r="C117" s="151">
        <v>855912.81</v>
      </c>
      <c r="D117" s="151">
        <v>819125.33</v>
      </c>
      <c r="E117" s="151">
        <v>812426</v>
      </c>
      <c r="F117" s="159">
        <v>1137589.71</v>
      </c>
      <c r="G117" s="159">
        <v>700886</v>
      </c>
      <c r="H117" s="104">
        <v>1368648</v>
      </c>
      <c r="I117" s="104">
        <v>1402686</v>
      </c>
      <c r="J117" s="104">
        <v>1486874</v>
      </c>
      <c r="K117" s="104">
        <v>1406397</v>
      </c>
      <c r="L117" s="104">
        <v>1452422</v>
      </c>
      <c r="M117" s="104">
        <v>1682168</v>
      </c>
      <c r="N117" s="104">
        <v>2024859</v>
      </c>
      <c r="O117" s="104">
        <v>2411421</v>
      </c>
      <c r="P117" s="104">
        <v>2678330</v>
      </c>
      <c r="Q117" s="104">
        <v>2637020</v>
      </c>
      <c r="R117" s="1">
        <v>225826</v>
      </c>
      <c r="S117" s="1">
        <v>1751375</v>
      </c>
      <c r="T117" s="1">
        <v>2530544</v>
      </c>
      <c r="U117" s="1">
        <v>3122868</v>
      </c>
    </row>
    <row r="118" spans="1:21" x14ac:dyDescent="0.2">
      <c r="A118" s="26" t="s">
        <v>10</v>
      </c>
      <c r="B118" s="151">
        <v>774105.26</v>
      </c>
      <c r="C118" s="151">
        <v>816019.43</v>
      </c>
      <c r="D118" s="151">
        <v>907024.07</v>
      </c>
      <c r="E118" s="151">
        <v>969243.88</v>
      </c>
      <c r="F118" s="159"/>
      <c r="G118" s="159">
        <v>962107</v>
      </c>
      <c r="H118" s="104">
        <v>1282069</v>
      </c>
      <c r="I118" s="104">
        <v>1047004</v>
      </c>
      <c r="J118" s="104">
        <v>1170371</v>
      </c>
      <c r="K118" s="104">
        <v>1277630</v>
      </c>
      <c r="L118" s="104">
        <v>1311783</v>
      </c>
      <c r="M118" s="104">
        <v>1603997</v>
      </c>
      <c r="N118" s="104">
        <v>2107990</v>
      </c>
      <c r="O118" s="104">
        <v>2347442</v>
      </c>
      <c r="P118" s="104">
        <v>3868472</v>
      </c>
      <c r="Q118" s="104">
        <v>2360172</v>
      </c>
      <c r="R118" s="1">
        <v>3368499</v>
      </c>
      <c r="S118" s="1">
        <v>2181245</v>
      </c>
      <c r="T118" s="1">
        <v>2268548</v>
      </c>
      <c r="U118" s="1">
        <v>3095252</v>
      </c>
    </row>
    <row r="119" spans="1:21" x14ac:dyDescent="0.2">
      <c r="A119" s="26" t="s">
        <v>11</v>
      </c>
      <c r="B119" s="153">
        <v>975117.22</v>
      </c>
      <c r="C119" s="153">
        <v>907773.37</v>
      </c>
      <c r="D119" s="153">
        <v>-362543.49</v>
      </c>
      <c r="E119" s="153">
        <v>809754.71</v>
      </c>
      <c r="F119" s="154">
        <v>1270470</v>
      </c>
      <c r="G119" s="154">
        <v>692941</v>
      </c>
      <c r="H119" s="95">
        <v>806256</v>
      </c>
      <c r="I119" s="95">
        <v>694788</v>
      </c>
      <c r="J119" s="95">
        <v>898791</v>
      </c>
      <c r="K119" s="95">
        <v>988861</v>
      </c>
      <c r="L119" s="95">
        <v>1736441</v>
      </c>
      <c r="M119" s="95">
        <v>1392491</v>
      </c>
      <c r="N119" s="95">
        <v>1511299</v>
      </c>
      <c r="O119" s="95">
        <v>1466404</v>
      </c>
      <c r="P119" s="95">
        <v>1991858</v>
      </c>
      <c r="Q119" s="95">
        <v>1707212</v>
      </c>
      <c r="R119" s="95">
        <v>164427</v>
      </c>
      <c r="S119" s="1">
        <v>1695628</v>
      </c>
      <c r="T119" s="1">
        <v>2228748</v>
      </c>
      <c r="U119" s="1">
        <v>2452198</v>
      </c>
    </row>
    <row r="120" spans="1:21" x14ac:dyDescent="0.2">
      <c r="B120" s="156">
        <f t="shared" ref="B120:H120" si="34">SUM(B108:B119)</f>
        <v>8841609.8000000007</v>
      </c>
      <c r="C120" s="156">
        <f t="shared" si="34"/>
        <v>9555800.0899999999</v>
      </c>
      <c r="D120" s="156">
        <f t="shared" si="34"/>
        <v>9530147.120000001</v>
      </c>
      <c r="E120" s="156">
        <f t="shared" si="34"/>
        <v>10133756.629999999</v>
      </c>
      <c r="F120" s="166">
        <f t="shared" si="34"/>
        <v>9760649.4299999997</v>
      </c>
      <c r="G120" s="166">
        <f t="shared" si="34"/>
        <v>9258370</v>
      </c>
      <c r="H120" s="166">
        <f t="shared" si="34"/>
        <v>13176785</v>
      </c>
      <c r="I120" s="166">
        <f t="shared" ref="I120:O120" si="35">SUM(I108:I119)</f>
        <v>14170425</v>
      </c>
      <c r="J120" s="166">
        <f t="shared" si="35"/>
        <v>14291001</v>
      </c>
      <c r="K120" s="166">
        <f t="shared" si="35"/>
        <v>14482445</v>
      </c>
      <c r="L120" s="96">
        <f t="shared" si="35"/>
        <v>16928689</v>
      </c>
      <c r="M120" s="96">
        <f t="shared" si="35"/>
        <v>18787063</v>
      </c>
      <c r="N120" s="96">
        <f t="shared" si="35"/>
        <v>19235300</v>
      </c>
      <c r="O120" s="96">
        <f t="shared" si="35"/>
        <v>20420779</v>
      </c>
      <c r="P120" s="96">
        <f t="shared" ref="P120:Q120" si="36">SUM(P108:P119)</f>
        <v>24722877</v>
      </c>
      <c r="Q120" s="96">
        <f t="shared" si="36"/>
        <v>23657553</v>
      </c>
      <c r="R120" s="126">
        <f t="shared" ref="R120:S120" si="37">SUM(R108:R119)</f>
        <v>8747533</v>
      </c>
      <c r="S120" s="126">
        <f t="shared" si="37"/>
        <v>10570224</v>
      </c>
      <c r="T120" s="126">
        <f t="shared" ref="T120:U120" si="38">SUM(T108:T119)</f>
        <v>22936571</v>
      </c>
      <c r="U120" s="126">
        <f t="shared" si="38"/>
        <v>25389564</v>
      </c>
    </row>
    <row r="121" spans="1:21" x14ac:dyDescent="0.2">
      <c r="B121" s="67"/>
      <c r="C121" s="67"/>
      <c r="D121" s="67"/>
      <c r="E121" s="67"/>
      <c r="F121" s="87"/>
      <c r="G121" s="87"/>
      <c r="H121" s="25"/>
      <c r="I121" s="25"/>
      <c r="J121" s="25"/>
    </row>
    <row r="122" spans="1:21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21" x14ac:dyDescent="0.2">
      <c r="B123" s="67"/>
      <c r="C123" s="67"/>
      <c r="D123" s="67"/>
      <c r="E123" s="67"/>
      <c r="F123" s="25"/>
      <c r="G123" s="25"/>
      <c r="H123" s="25"/>
      <c r="I123" s="25"/>
      <c r="J123" s="25"/>
    </row>
    <row r="124" spans="1:21" x14ac:dyDescent="0.2">
      <c r="B124" s="67"/>
      <c r="C124" s="67"/>
      <c r="D124" s="67"/>
      <c r="E124" s="67"/>
      <c r="F124" s="25"/>
      <c r="G124" s="25"/>
      <c r="H124" s="25"/>
      <c r="I124" s="25"/>
      <c r="J124" s="25"/>
    </row>
    <row r="125" spans="1:21" x14ac:dyDescent="0.2">
      <c r="B125" s="67"/>
      <c r="C125" s="67"/>
      <c r="D125" s="67"/>
      <c r="E125" s="67"/>
      <c r="F125" s="25"/>
      <c r="G125" s="25"/>
      <c r="H125" s="25"/>
      <c r="I125" s="25"/>
      <c r="J125" s="25"/>
    </row>
    <row r="126" spans="1:21" x14ac:dyDescent="0.2">
      <c r="B126" s="67"/>
      <c r="C126" s="67"/>
      <c r="D126" s="67"/>
      <c r="E126" s="67"/>
      <c r="F126" s="25"/>
      <c r="G126" s="25"/>
      <c r="H126" s="25"/>
      <c r="I126" s="25"/>
      <c r="J126" s="25"/>
    </row>
    <row r="127" spans="1:21" x14ac:dyDescent="0.2">
      <c r="B127" s="67"/>
      <c r="C127" s="67"/>
      <c r="D127" s="67"/>
      <c r="E127" s="67"/>
      <c r="F127" s="25"/>
      <c r="G127" s="25"/>
      <c r="H127" s="25"/>
      <c r="I127" s="25"/>
      <c r="J127" s="25"/>
    </row>
    <row r="128" spans="1:21" x14ac:dyDescent="0.2">
      <c r="B128" s="67"/>
      <c r="C128" s="67"/>
      <c r="D128" s="67"/>
      <c r="E128" s="67"/>
      <c r="F128" s="25"/>
      <c r="G128" s="25"/>
      <c r="H128" s="25"/>
      <c r="I128" s="25"/>
      <c r="J128" s="25"/>
    </row>
    <row r="129" spans="2:10" x14ac:dyDescent="0.2">
      <c r="B129" s="67"/>
      <c r="C129" s="67"/>
      <c r="D129" s="67"/>
      <c r="E129" s="67"/>
      <c r="F129" s="25"/>
      <c r="G129" s="25"/>
      <c r="H129" s="25"/>
      <c r="I129" s="25"/>
      <c r="J129" s="25"/>
    </row>
    <row r="130" spans="2:10" x14ac:dyDescent="0.2">
      <c r="B130" s="67"/>
      <c r="C130" s="67"/>
      <c r="D130" s="67"/>
      <c r="E130" s="67"/>
      <c r="F130" s="25"/>
      <c r="G130" s="25"/>
      <c r="H130" s="25"/>
      <c r="I130" s="25"/>
      <c r="J130" s="25"/>
    </row>
    <row r="131" spans="2:10" x14ac:dyDescent="0.2">
      <c r="B131" s="25"/>
      <c r="C131" s="25"/>
      <c r="D131" s="25"/>
      <c r="E131" s="25"/>
      <c r="F131" s="25"/>
      <c r="G131" s="25"/>
      <c r="H131" s="25"/>
      <c r="I131" s="25"/>
      <c r="J131" s="25"/>
    </row>
    <row r="132" spans="2:10" x14ac:dyDescent="0.2">
      <c r="B132" s="25"/>
      <c r="C132" s="25"/>
      <c r="D132" s="25"/>
      <c r="E132" s="25"/>
      <c r="F132" s="25"/>
      <c r="G132" s="25"/>
      <c r="H132" s="25"/>
      <c r="I132" s="25"/>
      <c r="J132" s="25"/>
    </row>
    <row r="133" spans="2:10" x14ac:dyDescent="0.2">
      <c r="B133" s="25"/>
      <c r="C133" s="25"/>
      <c r="D133" s="25"/>
      <c r="E133" s="25"/>
      <c r="F133" s="25"/>
      <c r="G133" s="25"/>
      <c r="H133" s="25"/>
      <c r="I133" s="25"/>
      <c r="J133" s="25"/>
    </row>
    <row r="134" spans="2:10" x14ac:dyDescent="0.2">
      <c r="B134" s="25"/>
      <c r="C134" s="25"/>
      <c r="D134" s="25"/>
      <c r="E134" s="25"/>
      <c r="F134" s="25"/>
      <c r="G134" s="25"/>
      <c r="H134" s="25"/>
      <c r="I134" s="25"/>
      <c r="J134" s="25"/>
    </row>
    <row r="135" spans="2:10" x14ac:dyDescent="0.2"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2:10" x14ac:dyDescent="0.2"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2:10" x14ac:dyDescent="0.2">
      <c r="B137" s="25"/>
      <c r="C137" s="25"/>
      <c r="D137" s="25"/>
      <c r="E137" s="25"/>
      <c r="F137" s="25"/>
      <c r="G137" s="25"/>
      <c r="H137" s="25"/>
      <c r="I137" s="25"/>
      <c r="J137" s="25"/>
    </row>
  </sheetData>
  <phoneticPr fontId="4" type="noConversion"/>
  <pageMargins left="0.2" right="0.2" top="0.4" bottom="0.81" header="0.18" footer="0.24"/>
  <pageSetup scale="78" fitToHeight="2" orientation="landscape" r:id="rId1"/>
  <headerFooter alignWithMargins="0">
    <oddHeader>&amp;A</oddHeader>
  </headerFooter>
  <rowBreaks count="1" manualBreakCount="1">
    <brk id="53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2:U72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2" width="8.85546875" bestFit="1" customWidth="1"/>
    <col min="3" max="8" width="9.140625" bestFit="1" customWidth="1"/>
    <col min="9" max="11" width="8.5703125" bestFit="1" customWidth="1"/>
    <col min="12" max="14" width="9.140625" bestFit="1" customWidth="1"/>
    <col min="15" max="20" width="9.28515625" bestFit="1" customWidth="1"/>
  </cols>
  <sheetData>
    <row r="2" spans="1:21" x14ac:dyDescent="0.2">
      <c r="A2" s="24" t="s">
        <v>26</v>
      </c>
      <c r="B2" s="148">
        <v>0.01</v>
      </c>
      <c r="C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15296.7</v>
      </c>
      <c r="C5" s="1">
        <v>20529</v>
      </c>
      <c r="D5" s="2">
        <v>19904.34</v>
      </c>
      <c r="E5" s="2">
        <v>18855.29</v>
      </c>
      <c r="F5" s="2">
        <v>19663</v>
      </c>
      <c r="G5" s="1">
        <v>19162</v>
      </c>
      <c r="H5" s="2">
        <v>17277</v>
      </c>
      <c r="I5" s="2">
        <v>19351</v>
      </c>
      <c r="J5" s="2">
        <v>17180</v>
      </c>
      <c r="K5" s="2">
        <v>20573</v>
      </c>
      <c r="L5" s="102">
        <v>20036</v>
      </c>
      <c r="M5" s="117">
        <v>20769</v>
      </c>
      <c r="N5" s="117">
        <v>23710</v>
      </c>
      <c r="O5" s="117">
        <v>23943</v>
      </c>
      <c r="P5" s="117">
        <v>28270</v>
      </c>
      <c r="Q5" s="117">
        <v>26833</v>
      </c>
      <c r="R5" s="1">
        <v>60255</v>
      </c>
      <c r="S5" s="1">
        <v>75093</v>
      </c>
      <c r="T5" s="1">
        <v>68967</v>
      </c>
      <c r="U5" s="1">
        <v>95472</v>
      </c>
    </row>
    <row r="6" spans="1:21" x14ac:dyDescent="0.2">
      <c r="A6" s="26" t="s">
        <v>1</v>
      </c>
      <c r="B6" s="1">
        <v>14763.54</v>
      </c>
      <c r="C6" s="1">
        <v>13191</v>
      </c>
      <c r="D6" s="2">
        <v>16645.25</v>
      </c>
      <c r="E6" s="2">
        <v>15605</v>
      </c>
      <c r="F6" s="2">
        <v>15187.4</v>
      </c>
      <c r="G6" s="1">
        <v>16470</v>
      </c>
      <c r="H6" s="2">
        <v>13714</v>
      </c>
      <c r="I6" s="2">
        <v>15466</v>
      </c>
      <c r="J6" s="2">
        <v>13833</v>
      </c>
      <c r="K6" s="2">
        <v>15152</v>
      </c>
      <c r="L6" s="102">
        <v>17337</v>
      </c>
      <c r="M6" s="117">
        <v>18415</v>
      </c>
      <c r="N6" s="117">
        <v>20794</v>
      </c>
      <c r="O6" s="117">
        <v>19084</v>
      </c>
      <c r="P6" s="117">
        <v>20028</v>
      </c>
      <c r="Q6" s="117">
        <v>24796</v>
      </c>
      <c r="R6" s="1">
        <v>43220</v>
      </c>
      <c r="S6" s="1">
        <v>47170</v>
      </c>
      <c r="T6" s="1">
        <v>51634</v>
      </c>
      <c r="U6" s="1">
        <v>62726</v>
      </c>
    </row>
    <row r="7" spans="1:21" x14ac:dyDescent="0.2">
      <c r="A7" s="26" t="s">
        <v>2</v>
      </c>
      <c r="B7" s="1">
        <v>12689</v>
      </c>
      <c r="C7" s="1">
        <v>14291.79</v>
      </c>
      <c r="D7" s="2">
        <v>13563.05</v>
      </c>
      <c r="E7" s="2">
        <v>15366.58</v>
      </c>
      <c r="F7" s="2">
        <v>15884.01</v>
      </c>
      <c r="G7" s="1">
        <v>15163</v>
      </c>
      <c r="H7" s="2">
        <v>14803</v>
      </c>
      <c r="I7" s="2">
        <v>16467</v>
      </c>
      <c r="J7" s="2">
        <v>14724</v>
      </c>
      <c r="K7" s="2">
        <v>14835</v>
      </c>
      <c r="L7" s="106">
        <v>15157</v>
      </c>
      <c r="M7" s="117">
        <v>16167</v>
      </c>
      <c r="N7" s="117">
        <v>17287</v>
      </c>
      <c r="O7" s="117">
        <v>18109</v>
      </c>
      <c r="P7" s="117">
        <v>17413</v>
      </c>
      <c r="Q7" s="117">
        <v>19205</v>
      </c>
      <c r="R7" s="1">
        <v>39553</v>
      </c>
      <c r="S7" s="1">
        <v>45609</v>
      </c>
      <c r="T7" s="1">
        <v>52635</v>
      </c>
      <c r="U7" s="1">
        <v>80537</v>
      </c>
    </row>
    <row r="8" spans="1:21" x14ac:dyDescent="0.2">
      <c r="A8" s="26" t="s">
        <v>3</v>
      </c>
      <c r="B8" s="1">
        <v>14200</v>
      </c>
      <c r="C8" s="1">
        <v>16475</v>
      </c>
      <c r="D8" s="2">
        <v>16171.26</v>
      </c>
      <c r="E8" s="2">
        <v>17715</v>
      </c>
      <c r="F8" s="2">
        <v>16523.45</v>
      </c>
      <c r="G8" s="1">
        <v>16917</v>
      </c>
      <c r="H8" s="2">
        <v>16589</v>
      </c>
      <c r="I8" s="2">
        <v>16826</v>
      </c>
      <c r="J8" s="2">
        <v>18963</v>
      </c>
      <c r="K8" s="2">
        <v>16904</v>
      </c>
      <c r="L8" s="106">
        <v>17108</v>
      </c>
      <c r="M8" s="117">
        <v>18702</v>
      </c>
      <c r="N8" s="117">
        <v>20528</v>
      </c>
      <c r="O8" s="117">
        <v>21455</v>
      </c>
      <c r="P8" s="117">
        <v>22037</v>
      </c>
      <c r="Q8" s="117">
        <v>22633</v>
      </c>
      <c r="R8" s="1">
        <v>43162</v>
      </c>
      <c r="S8" s="1">
        <v>56438</v>
      </c>
      <c r="T8" s="1">
        <v>61127</v>
      </c>
      <c r="U8" s="1">
        <v>59093</v>
      </c>
    </row>
    <row r="9" spans="1:21" x14ac:dyDescent="0.2">
      <c r="A9" s="26" t="s">
        <v>4</v>
      </c>
      <c r="B9" s="1">
        <v>14556</v>
      </c>
      <c r="C9" s="1">
        <v>15852.15</v>
      </c>
      <c r="D9" s="2">
        <v>15362.16</v>
      </c>
      <c r="E9" s="2">
        <v>15668.18</v>
      </c>
      <c r="F9" s="2">
        <v>15414.1</v>
      </c>
      <c r="G9" s="1">
        <v>12719</v>
      </c>
      <c r="H9" s="2">
        <v>14201</v>
      </c>
      <c r="I9" s="2">
        <v>14683</v>
      </c>
      <c r="J9" s="2">
        <v>16757</v>
      </c>
      <c r="K9" s="2">
        <v>15316</v>
      </c>
      <c r="L9" s="106">
        <v>16441</v>
      </c>
      <c r="M9" s="117">
        <v>17996</v>
      </c>
      <c r="N9" s="117">
        <v>19141</v>
      </c>
      <c r="O9" s="117">
        <v>18358</v>
      </c>
      <c r="P9" s="117">
        <v>18059</v>
      </c>
      <c r="Q9" s="117">
        <v>23242</v>
      </c>
      <c r="R9" s="1">
        <v>43737</v>
      </c>
      <c r="S9" s="1">
        <v>57775</v>
      </c>
      <c r="T9" s="1">
        <v>51138</v>
      </c>
      <c r="U9" s="1">
        <v>52636</v>
      </c>
    </row>
    <row r="10" spans="1:21" x14ac:dyDescent="0.2">
      <c r="A10" s="26" t="s">
        <v>5</v>
      </c>
      <c r="B10" s="1">
        <v>15083</v>
      </c>
      <c r="C10" s="1">
        <v>16893</v>
      </c>
      <c r="D10" s="2">
        <v>18164.919999999998</v>
      </c>
      <c r="E10" s="2">
        <v>19671.09</v>
      </c>
      <c r="F10" s="2">
        <v>30238</v>
      </c>
      <c r="G10" s="1">
        <v>15845</v>
      </c>
      <c r="H10" s="2">
        <v>16103</v>
      </c>
      <c r="I10" s="2">
        <v>18625</v>
      </c>
      <c r="J10" s="2">
        <v>18754</v>
      </c>
      <c r="K10" s="2">
        <v>23609</v>
      </c>
      <c r="L10" s="106">
        <v>22212</v>
      </c>
      <c r="M10" s="117">
        <v>20876</v>
      </c>
      <c r="N10" s="117">
        <v>22715</v>
      </c>
      <c r="O10" s="117">
        <v>21999</v>
      </c>
      <c r="P10" s="117">
        <v>24516</v>
      </c>
      <c r="Q10" s="117">
        <v>26329</v>
      </c>
      <c r="R10" s="1">
        <v>46145</v>
      </c>
      <c r="S10" s="1">
        <v>66908</v>
      </c>
      <c r="T10" s="1">
        <v>70360</v>
      </c>
      <c r="U10" s="1">
        <v>75033</v>
      </c>
    </row>
    <row r="11" spans="1:21" x14ac:dyDescent="0.2">
      <c r="A11" s="26" t="s">
        <v>6</v>
      </c>
      <c r="B11" s="1">
        <v>16380.57</v>
      </c>
      <c r="C11" s="1">
        <v>18594</v>
      </c>
      <c r="D11" s="2">
        <v>15407</v>
      </c>
      <c r="E11" s="2">
        <v>20638.650000000001</v>
      </c>
      <c r="F11" s="2">
        <v>17099</v>
      </c>
      <c r="G11" s="1">
        <v>20967</v>
      </c>
      <c r="H11" s="2">
        <v>54645</v>
      </c>
      <c r="I11" s="2">
        <v>20036</v>
      </c>
      <c r="J11" s="2">
        <v>17859</v>
      </c>
      <c r="K11" s="2">
        <v>21495</v>
      </c>
      <c r="L11" s="106">
        <v>23134</v>
      </c>
      <c r="M11" s="117">
        <v>24775</v>
      </c>
      <c r="N11" s="117">
        <v>28898</v>
      </c>
      <c r="O11" s="117">
        <v>26447</v>
      </c>
      <c r="P11" s="117">
        <v>24227</v>
      </c>
      <c r="Q11" s="117">
        <v>30915</v>
      </c>
      <c r="R11" s="1">
        <v>62653</v>
      </c>
      <c r="S11" s="1">
        <v>74000</v>
      </c>
      <c r="T11" s="1">
        <v>85540</v>
      </c>
      <c r="U11" s="1">
        <v>92481</v>
      </c>
    </row>
    <row r="12" spans="1:21" x14ac:dyDescent="0.2">
      <c r="A12" s="26" t="s">
        <v>7</v>
      </c>
      <c r="B12" s="1">
        <v>24282</v>
      </c>
      <c r="C12" s="1">
        <v>24727.81</v>
      </c>
      <c r="D12" s="2">
        <v>29521</v>
      </c>
      <c r="E12" s="2">
        <v>22010.68</v>
      </c>
      <c r="F12" s="2">
        <v>26691.56</v>
      </c>
      <c r="G12" s="1">
        <v>22144</v>
      </c>
      <c r="H12" s="2">
        <v>28051</v>
      </c>
      <c r="I12" s="2">
        <v>72685</v>
      </c>
      <c r="J12" s="2">
        <v>45429</v>
      </c>
      <c r="K12" s="2">
        <v>31128</v>
      </c>
      <c r="L12" s="106">
        <v>37451</v>
      </c>
      <c r="M12" s="117">
        <v>33858</v>
      </c>
      <c r="N12" s="117">
        <v>32734</v>
      </c>
      <c r="O12" s="117">
        <v>28694</v>
      </c>
      <c r="P12" s="117">
        <v>35973</v>
      </c>
      <c r="Q12" s="117">
        <v>35577</v>
      </c>
      <c r="R12" s="1">
        <v>72438</v>
      </c>
      <c r="S12" s="1">
        <v>87129</v>
      </c>
      <c r="T12" s="1">
        <v>89714</v>
      </c>
      <c r="U12" s="1">
        <v>101681</v>
      </c>
    </row>
    <row r="13" spans="1:21" x14ac:dyDescent="0.2">
      <c r="A13" s="26" t="s">
        <v>8</v>
      </c>
      <c r="B13" s="1">
        <v>17691</v>
      </c>
      <c r="C13" s="1">
        <v>19941.7</v>
      </c>
      <c r="D13" s="2">
        <v>21123.38</v>
      </c>
      <c r="E13" s="2">
        <v>24375.1</v>
      </c>
      <c r="F13" s="2">
        <v>24691.42</v>
      </c>
      <c r="G13" s="1">
        <v>21094</v>
      </c>
      <c r="H13" s="2">
        <v>24540</v>
      </c>
      <c r="I13" s="2">
        <v>23342</v>
      </c>
      <c r="J13" s="2">
        <v>26852</v>
      </c>
      <c r="K13" s="2">
        <v>26138</v>
      </c>
      <c r="L13" s="106">
        <v>29826</v>
      </c>
      <c r="M13" s="117">
        <v>26432</v>
      </c>
      <c r="N13" s="117">
        <v>30899</v>
      </c>
      <c r="O13" s="117">
        <v>29576</v>
      </c>
      <c r="P13" s="117">
        <v>31727</v>
      </c>
      <c r="Q13" s="117">
        <v>32241</v>
      </c>
      <c r="R13" s="2">
        <v>74639</v>
      </c>
      <c r="S13" s="1">
        <v>78505</v>
      </c>
      <c r="T13" s="1">
        <v>101861</v>
      </c>
      <c r="U13" s="1">
        <v>100438</v>
      </c>
    </row>
    <row r="14" spans="1:21" x14ac:dyDescent="0.2">
      <c r="A14" s="26" t="s">
        <v>9</v>
      </c>
      <c r="B14" s="1">
        <v>20591.919999999998</v>
      </c>
      <c r="C14" s="1">
        <v>20861</v>
      </c>
      <c r="D14" s="2">
        <v>21585</v>
      </c>
      <c r="E14" s="2">
        <v>21124.11</v>
      </c>
      <c r="F14" s="2">
        <f>18503+446.43</f>
        <v>18949.43</v>
      </c>
      <c r="G14" s="1">
        <v>21027</v>
      </c>
      <c r="H14" s="2">
        <v>22036</v>
      </c>
      <c r="I14" s="2">
        <v>28449</v>
      </c>
      <c r="J14" s="2">
        <v>22464</v>
      </c>
      <c r="K14" s="2">
        <v>22670</v>
      </c>
      <c r="L14" s="106">
        <v>26490</v>
      </c>
      <c r="M14" s="117">
        <v>29011</v>
      </c>
      <c r="N14" s="117">
        <v>31646</v>
      </c>
      <c r="O14" s="117">
        <v>26232</v>
      </c>
      <c r="P14" s="117">
        <v>28961</v>
      </c>
      <c r="Q14" s="117">
        <v>29241</v>
      </c>
      <c r="R14" s="1">
        <v>68315</v>
      </c>
      <c r="S14" s="1">
        <v>75844</v>
      </c>
      <c r="T14" s="1">
        <v>89791</v>
      </c>
      <c r="U14" s="1">
        <v>94474</v>
      </c>
    </row>
    <row r="15" spans="1:21" x14ac:dyDescent="0.2">
      <c r="A15" s="26" t="s">
        <v>10</v>
      </c>
      <c r="B15" s="53">
        <v>16299</v>
      </c>
      <c r="C15" s="53">
        <v>16117</v>
      </c>
      <c r="D15" s="2">
        <v>16931</v>
      </c>
      <c r="E15" s="2">
        <v>18023</v>
      </c>
      <c r="F15" s="2"/>
      <c r="G15" s="1">
        <v>18346</v>
      </c>
      <c r="H15" s="2">
        <v>19450</v>
      </c>
      <c r="I15" s="2">
        <v>17974</v>
      </c>
      <c r="J15" s="2">
        <v>18760</v>
      </c>
      <c r="K15" s="2">
        <v>20435</v>
      </c>
      <c r="L15" s="106">
        <v>23006</v>
      </c>
      <c r="M15" s="117">
        <v>26221</v>
      </c>
      <c r="N15" s="117">
        <v>24669</v>
      </c>
      <c r="O15" s="117">
        <v>23270</v>
      </c>
      <c r="P15" s="117">
        <v>29424</v>
      </c>
      <c r="Q15" s="117">
        <v>53915</v>
      </c>
      <c r="R15" s="1">
        <v>69684</v>
      </c>
      <c r="S15" s="1">
        <v>68588</v>
      </c>
      <c r="T15" s="1">
        <v>78520</v>
      </c>
      <c r="U15" s="1">
        <v>78879</v>
      </c>
    </row>
    <row r="16" spans="1:21" x14ac:dyDescent="0.2">
      <c r="A16" s="26" t="s">
        <v>11</v>
      </c>
      <c r="B16" s="39">
        <v>14568.5</v>
      </c>
      <c r="C16" s="39">
        <v>16713</v>
      </c>
      <c r="D16" s="39">
        <v>14999</v>
      </c>
      <c r="E16" s="39">
        <v>19563.96</v>
      </c>
      <c r="F16" s="39">
        <v>36799</v>
      </c>
      <c r="G16" s="39">
        <v>13742</v>
      </c>
      <c r="H16" s="40">
        <v>15129</v>
      </c>
      <c r="I16" s="40">
        <v>13729</v>
      </c>
      <c r="J16" s="40">
        <v>16052</v>
      </c>
      <c r="K16" s="40">
        <v>16828</v>
      </c>
      <c r="L16" s="95">
        <v>12614</v>
      </c>
      <c r="M16" s="95">
        <v>20598</v>
      </c>
      <c r="N16" s="95">
        <v>19994</v>
      </c>
      <c r="O16" s="95">
        <v>20914</v>
      </c>
      <c r="P16" s="95">
        <v>26124</v>
      </c>
      <c r="Q16" s="95">
        <v>41189</v>
      </c>
      <c r="R16" s="1">
        <v>49914</v>
      </c>
      <c r="S16" s="1">
        <v>57168</v>
      </c>
      <c r="T16" s="1">
        <v>66005</v>
      </c>
      <c r="U16" s="1">
        <v>63408</v>
      </c>
    </row>
    <row r="17" spans="1:21" x14ac:dyDescent="0.2">
      <c r="A17" s="25"/>
      <c r="B17" s="46">
        <f t="shared" ref="B17:H17" si="0">SUM(B5:B16)</f>
        <v>196401.22999999998</v>
      </c>
      <c r="C17" s="46">
        <f t="shared" si="0"/>
        <v>214186.45</v>
      </c>
      <c r="D17" s="41">
        <f t="shared" si="0"/>
        <v>219377.36</v>
      </c>
      <c r="E17" s="41">
        <f t="shared" si="0"/>
        <v>228616.63999999998</v>
      </c>
      <c r="F17" s="41">
        <f t="shared" si="0"/>
        <v>237140.37</v>
      </c>
      <c r="G17" s="41">
        <f t="shared" si="0"/>
        <v>213596</v>
      </c>
      <c r="H17" s="41">
        <f t="shared" si="0"/>
        <v>256538</v>
      </c>
      <c r="I17" s="44">
        <f t="shared" ref="I17:N17" si="1">SUM(I5:I16)</f>
        <v>277633</v>
      </c>
      <c r="J17" s="44">
        <f t="shared" si="1"/>
        <v>247627</v>
      </c>
      <c r="K17" s="44">
        <f t="shared" si="1"/>
        <v>245083</v>
      </c>
      <c r="L17" s="96">
        <f t="shared" si="1"/>
        <v>260812</v>
      </c>
      <c r="M17" s="96">
        <f t="shared" si="1"/>
        <v>273820</v>
      </c>
      <c r="N17" s="96">
        <f t="shared" si="1"/>
        <v>293015</v>
      </c>
      <c r="O17" s="96">
        <f t="shared" ref="O17:P17" si="2">SUM(O5:O16)</f>
        <v>278081</v>
      </c>
      <c r="P17" s="96">
        <f t="shared" si="2"/>
        <v>306759</v>
      </c>
      <c r="Q17" s="96">
        <f t="shared" ref="Q17:S17" si="3">SUM(Q5:Q16)</f>
        <v>366116</v>
      </c>
      <c r="R17" s="126">
        <f t="shared" ref="R17" si="4">SUM(R5:R16)</f>
        <v>673715</v>
      </c>
      <c r="S17" s="126">
        <f t="shared" si="3"/>
        <v>790227</v>
      </c>
      <c r="T17" s="126">
        <f t="shared" ref="T17:U17" si="5">SUM(T5:T16)</f>
        <v>867292</v>
      </c>
      <c r="U17" s="126">
        <f t="shared" si="5"/>
        <v>956858</v>
      </c>
    </row>
    <row r="18" spans="1:21" x14ac:dyDescent="0.2">
      <c r="A18" s="25"/>
      <c r="B18" s="2"/>
      <c r="G18" s="7"/>
      <c r="L18" s="94"/>
    </row>
    <row r="19" spans="1:21" x14ac:dyDescent="0.2">
      <c r="A19" s="25"/>
      <c r="B19" s="2"/>
      <c r="F19" s="35" t="s">
        <v>110</v>
      </c>
      <c r="L19" s="94"/>
    </row>
    <row r="20" spans="1:21" x14ac:dyDescent="0.2">
      <c r="B20" s="2"/>
      <c r="F20" s="35" t="s">
        <v>111</v>
      </c>
      <c r="L20" s="94"/>
    </row>
    <row r="21" spans="1:21" x14ac:dyDescent="0.2">
      <c r="A21" s="24" t="s">
        <v>27</v>
      </c>
      <c r="B21" s="148">
        <v>0.01</v>
      </c>
      <c r="C21" s="94" t="s">
        <v>372</v>
      </c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B23" s="2"/>
    </row>
    <row r="24" spans="1:21" x14ac:dyDescent="0.2">
      <c r="A24" s="26" t="s">
        <v>0</v>
      </c>
      <c r="B24" s="1">
        <v>649.39</v>
      </c>
      <c r="C24" s="1">
        <v>1064</v>
      </c>
      <c r="D24" s="2">
        <v>5969</v>
      </c>
      <c r="E24" s="2">
        <v>7872</v>
      </c>
      <c r="F24" s="2">
        <v>1923</v>
      </c>
      <c r="G24" s="1">
        <v>2497</v>
      </c>
      <c r="H24" s="2">
        <v>5356</v>
      </c>
      <c r="I24" s="2">
        <v>4301</v>
      </c>
      <c r="J24" s="2">
        <v>3277</v>
      </c>
      <c r="K24" s="2">
        <v>4313</v>
      </c>
      <c r="L24" s="102">
        <v>2240</v>
      </c>
      <c r="M24" s="117">
        <v>4851</v>
      </c>
      <c r="N24" s="117">
        <v>2474</v>
      </c>
      <c r="O24" s="117">
        <v>3178</v>
      </c>
      <c r="P24" s="117">
        <v>4894</v>
      </c>
      <c r="Q24" s="117">
        <v>4748</v>
      </c>
      <c r="R24" s="1">
        <v>9841</v>
      </c>
      <c r="S24" s="1">
        <v>6900</v>
      </c>
      <c r="T24" s="1">
        <v>22911</v>
      </c>
      <c r="U24" s="1">
        <v>13258</v>
      </c>
    </row>
    <row r="25" spans="1:21" x14ac:dyDescent="0.2">
      <c r="A25" s="26" t="s">
        <v>1</v>
      </c>
      <c r="B25" s="1">
        <v>866.73</v>
      </c>
      <c r="C25" s="1">
        <v>1156</v>
      </c>
      <c r="D25" s="2">
        <v>4399</v>
      </c>
      <c r="E25" s="2">
        <v>4423</v>
      </c>
      <c r="F25" s="2">
        <v>642</v>
      </c>
      <c r="G25" s="1">
        <v>1145</v>
      </c>
      <c r="H25" s="2">
        <v>-13588</v>
      </c>
      <c r="I25" s="2">
        <v>3204</v>
      </c>
      <c r="J25" s="2">
        <v>1736</v>
      </c>
      <c r="K25" s="2">
        <v>1838</v>
      </c>
      <c r="L25" s="102">
        <v>3635</v>
      </c>
      <c r="M25" s="117">
        <v>1322</v>
      </c>
      <c r="N25" s="117">
        <v>1554</v>
      </c>
      <c r="O25" s="117">
        <v>-18</v>
      </c>
      <c r="P25" s="117">
        <v>2306</v>
      </c>
      <c r="Q25" s="117">
        <v>2599</v>
      </c>
      <c r="R25" s="1">
        <v>4275</v>
      </c>
      <c r="S25" s="1">
        <v>4225</v>
      </c>
      <c r="T25" s="1">
        <v>2228</v>
      </c>
      <c r="U25" s="1">
        <v>9397</v>
      </c>
    </row>
    <row r="26" spans="1:21" x14ac:dyDescent="0.2">
      <c r="A26" s="26" t="s">
        <v>2</v>
      </c>
      <c r="B26" s="1">
        <v>541</v>
      </c>
      <c r="C26" s="1">
        <v>565</v>
      </c>
      <c r="D26" s="2">
        <v>3253</v>
      </c>
      <c r="E26" s="2">
        <v>3768</v>
      </c>
      <c r="F26" s="2">
        <v>1628</v>
      </c>
      <c r="G26" s="1">
        <v>1534</v>
      </c>
      <c r="H26" s="2">
        <v>2882</v>
      </c>
      <c r="I26" s="2">
        <v>1655</v>
      </c>
      <c r="J26" s="2">
        <v>5285</v>
      </c>
      <c r="K26" s="2">
        <v>3265</v>
      </c>
      <c r="L26" s="102">
        <v>2462</v>
      </c>
      <c r="M26" s="117">
        <v>2666</v>
      </c>
      <c r="N26" s="117">
        <v>1478</v>
      </c>
      <c r="O26" s="117">
        <v>3131</v>
      </c>
      <c r="P26" s="117">
        <v>2718</v>
      </c>
      <c r="Q26" s="117">
        <v>1350</v>
      </c>
      <c r="R26" s="1">
        <v>4707</v>
      </c>
      <c r="S26" s="1">
        <v>5764</v>
      </c>
      <c r="T26" s="1">
        <v>4796</v>
      </c>
      <c r="U26" s="1">
        <v>5977</v>
      </c>
    </row>
    <row r="27" spans="1:21" x14ac:dyDescent="0.2">
      <c r="A27" s="26" t="s">
        <v>3</v>
      </c>
      <c r="B27" s="1">
        <v>818</v>
      </c>
      <c r="C27" s="1">
        <v>3008</v>
      </c>
      <c r="D27" s="2">
        <v>4097.26</v>
      </c>
      <c r="E27" s="2">
        <v>3051</v>
      </c>
      <c r="F27" s="2">
        <v>1465.1</v>
      </c>
      <c r="G27" s="1">
        <v>2693</v>
      </c>
      <c r="H27" s="2">
        <v>1800</v>
      </c>
      <c r="I27" s="2">
        <v>2388</v>
      </c>
      <c r="J27" s="2">
        <v>3529</v>
      </c>
      <c r="K27" s="2">
        <v>2002</v>
      </c>
      <c r="L27" s="102">
        <v>5283</v>
      </c>
      <c r="M27" s="117">
        <v>2354</v>
      </c>
      <c r="N27" s="117">
        <v>4826</v>
      </c>
      <c r="O27" s="117">
        <v>3949</v>
      </c>
      <c r="P27" s="117">
        <v>2562</v>
      </c>
      <c r="Q27" s="117">
        <v>3552</v>
      </c>
      <c r="R27" s="1">
        <v>9001</v>
      </c>
      <c r="S27" s="1">
        <v>5024</v>
      </c>
      <c r="T27" s="1">
        <v>6419</v>
      </c>
      <c r="U27" s="1">
        <v>4551</v>
      </c>
    </row>
    <row r="28" spans="1:21" x14ac:dyDescent="0.2">
      <c r="A28" s="26" t="s">
        <v>4</v>
      </c>
      <c r="B28" s="1">
        <v>472</v>
      </c>
      <c r="C28" s="1">
        <v>2390</v>
      </c>
      <c r="D28" s="2">
        <v>2862.75</v>
      </c>
      <c r="E28" s="2">
        <v>1722</v>
      </c>
      <c r="F28" s="2">
        <v>2439</v>
      </c>
      <c r="G28" s="1">
        <v>1783</v>
      </c>
      <c r="H28" s="2">
        <v>1616</v>
      </c>
      <c r="I28" s="2">
        <v>5188</v>
      </c>
      <c r="J28" s="2">
        <v>2052</v>
      </c>
      <c r="K28" s="2">
        <v>2426</v>
      </c>
      <c r="L28" s="102">
        <v>2293</v>
      </c>
      <c r="M28" s="117">
        <v>1621</v>
      </c>
      <c r="N28" s="117">
        <v>5994</v>
      </c>
      <c r="O28" s="117">
        <v>-295</v>
      </c>
      <c r="P28" s="117">
        <v>2697</v>
      </c>
      <c r="Q28" s="117">
        <v>2515</v>
      </c>
      <c r="R28" s="1">
        <v>5577</v>
      </c>
      <c r="S28" s="1">
        <v>7455</v>
      </c>
      <c r="T28" s="1">
        <v>4188</v>
      </c>
      <c r="U28" s="1">
        <v>13368</v>
      </c>
    </row>
    <row r="29" spans="1:21" x14ac:dyDescent="0.2">
      <c r="A29" s="26" t="s">
        <v>5</v>
      </c>
      <c r="B29" s="1">
        <v>704</v>
      </c>
      <c r="C29" s="1">
        <v>3638</v>
      </c>
      <c r="D29" s="2">
        <v>2040.49</v>
      </c>
      <c r="E29" s="2">
        <v>3175</v>
      </c>
      <c r="F29" s="2">
        <v>1342</v>
      </c>
      <c r="G29" s="1">
        <v>962</v>
      </c>
      <c r="H29" s="2">
        <v>1451</v>
      </c>
      <c r="I29" s="2">
        <v>2109</v>
      </c>
      <c r="J29" s="2">
        <v>5026</v>
      </c>
      <c r="K29" s="2">
        <v>1648</v>
      </c>
      <c r="L29" s="102">
        <v>2684</v>
      </c>
      <c r="M29" s="117">
        <v>1832</v>
      </c>
      <c r="N29" s="117">
        <v>1650</v>
      </c>
      <c r="O29" s="117">
        <v>4243</v>
      </c>
      <c r="P29" s="117">
        <v>3005</v>
      </c>
      <c r="Q29" s="117">
        <v>2225</v>
      </c>
      <c r="R29" s="113">
        <v>1049</v>
      </c>
      <c r="S29" s="1">
        <v>5459</v>
      </c>
      <c r="T29" s="1">
        <v>3789</v>
      </c>
      <c r="U29" s="1">
        <v>9752</v>
      </c>
    </row>
    <row r="30" spans="1:21" x14ac:dyDescent="0.2">
      <c r="A30" s="26" t="s">
        <v>6</v>
      </c>
      <c r="B30" s="1">
        <v>2102.0100000000002</v>
      </c>
      <c r="C30" s="1">
        <v>639</v>
      </c>
      <c r="D30" s="2">
        <v>316</v>
      </c>
      <c r="E30" s="2">
        <v>623.69000000000005</v>
      </c>
      <c r="F30" s="2">
        <v>199</v>
      </c>
      <c r="G30" s="1">
        <v>517</v>
      </c>
      <c r="H30" s="2">
        <v>1257</v>
      </c>
      <c r="I30" s="2">
        <v>2128</v>
      </c>
      <c r="J30" s="2">
        <v>1859</v>
      </c>
      <c r="K30" s="2">
        <v>1705</v>
      </c>
      <c r="L30" s="102">
        <v>13040</v>
      </c>
      <c r="M30" s="117">
        <v>1683</v>
      </c>
      <c r="N30" s="117">
        <v>1736</v>
      </c>
      <c r="O30" s="117">
        <v>2459</v>
      </c>
      <c r="P30" s="117">
        <v>2818</v>
      </c>
      <c r="Q30" s="117">
        <v>2818</v>
      </c>
      <c r="R30" s="1">
        <v>5754</v>
      </c>
      <c r="S30" s="1">
        <v>6701</v>
      </c>
      <c r="T30" s="1">
        <v>6611</v>
      </c>
      <c r="U30" s="1">
        <v>5188</v>
      </c>
    </row>
    <row r="31" spans="1:21" x14ac:dyDescent="0.2">
      <c r="A31" s="26" t="s">
        <v>7</v>
      </c>
      <c r="B31" s="1">
        <v>667</v>
      </c>
      <c r="C31" s="1">
        <v>2591</v>
      </c>
      <c r="D31" s="2">
        <v>2861</v>
      </c>
      <c r="E31" s="2">
        <v>3002.35</v>
      </c>
      <c r="F31" s="2">
        <v>1264</v>
      </c>
      <c r="G31" s="1">
        <v>1108</v>
      </c>
      <c r="H31" s="2">
        <v>938</v>
      </c>
      <c r="I31" s="2">
        <v>926</v>
      </c>
      <c r="J31" s="2">
        <v>1952</v>
      </c>
      <c r="K31" s="2">
        <v>1076</v>
      </c>
      <c r="L31" s="102">
        <v>1234</v>
      </c>
      <c r="M31" s="117">
        <v>3120</v>
      </c>
      <c r="N31" s="117">
        <v>11596</v>
      </c>
      <c r="O31" s="117">
        <v>1496</v>
      </c>
      <c r="P31" s="117">
        <v>2739</v>
      </c>
      <c r="Q31" s="117">
        <v>1592</v>
      </c>
      <c r="R31" s="1">
        <v>5955</v>
      </c>
      <c r="S31" s="1">
        <v>7427</v>
      </c>
      <c r="T31" s="1">
        <v>6723</v>
      </c>
      <c r="U31" s="1">
        <v>6807</v>
      </c>
    </row>
    <row r="32" spans="1:21" x14ac:dyDescent="0.2">
      <c r="A32" s="26" t="s">
        <v>8</v>
      </c>
      <c r="B32" s="1">
        <v>10</v>
      </c>
      <c r="C32" s="1">
        <v>3065.51</v>
      </c>
      <c r="D32" s="2">
        <v>4361</v>
      </c>
      <c r="E32" s="2">
        <v>2528.84</v>
      </c>
      <c r="F32" s="2">
        <v>862</v>
      </c>
      <c r="G32" s="1">
        <v>805</v>
      </c>
      <c r="H32" s="2">
        <v>1116</v>
      </c>
      <c r="I32" s="2">
        <v>3217</v>
      </c>
      <c r="J32" s="2">
        <v>3567</v>
      </c>
      <c r="K32" s="2">
        <v>1891</v>
      </c>
      <c r="L32" s="102">
        <v>1561</v>
      </c>
      <c r="M32" s="117">
        <v>2020</v>
      </c>
      <c r="N32" s="117">
        <v>1346</v>
      </c>
      <c r="O32" s="117">
        <v>1940</v>
      </c>
      <c r="P32" s="117">
        <v>899</v>
      </c>
      <c r="Q32" s="117">
        <v>3113</v>
      </c>
      <c r="R32" s="2">
        <v>3307</v>
      </c>
      <c r="S32" s="1">
        <v>852</v>
      </c>
      <c r="T32" s="1">
        <v>7980</v>
      </c>
      <c r="U32" s="1">
        <v>13491</v>
      </c>
    </row>
    <row r="33" spans="1:21" x14ac:dyDescent="0.2">
      <c r="A33" s="26" t="s">
        <v>9</v>
      </c>
      <c r="B33" s="1">
        <v>920.13</v>
      </c>
      <c r="C33" s="1">
        <v>2219</v>
      </c>
      <c r="D33" s="2">
        <v>4368</v>
      </c>
      <c r="E33" s="2">
        <v>4692</v>
      </c>
      <c r="F33" s="2">
        <v>1140</v>
      </c>
      <c r="G33" s="1">
        <v>1182</v>
      </c>
      <c r="H33" s="2">
        <v>1475</v>
      </c>
      <c r="I33" s="2">
        <v>1918</v>
      </c>
      <c r="J33" s="2">
        <v>1155</v>
      </c>
      <c r="K33" s="2">
        <v>1225</v>
      </c>
      <c r="L33" s="102">
        <v>2595</v>
      </c>
      <c r="M33" s="117">
        <v>1784</v>
      </c>
      <c r="N33" s="117">
        <v>1183</v>
      </c>
      <c r="O33" s="117">
        <v>-11405</v>
      </c>
      <c r="P33" s="117">
        <v>917</v>
      </c>
      <c r="Q33" s="117">
        <v>3632</v>
      </c>
      <c r="R33" s="1">
        <v>5751</v>
      </c>
      <c r="S33" s="1">
        <v>-197</v>
      </c>
      <c r="T33" s="1">
        <v>6171</v>
      </c>
      <c r="U33" s="1">
        <v>9523</v>
      </c>
    </row>
    <row r="34" spans="1:21" x14ac:dyDescent="0.2">
      <c r="A34" s="26" t="s">
        <v>10</v>
      </c>
      <c r="B34" s="53">
        <v>-61</v>
      </c>
      <c r="C34" s="53">
        <v>2309</v>
      </c>
      <c r="D34" s="2">
        <v>5404.74</v>
      </c>
      <c r="E34" s="2">
        <v>4954.51</v>
      </c>
      <c r="F34" s="2">
        <v>1139.42</v>
      </c>
      <c r="G34" s="1">
        <v>380</v>
      </c>
      <c r="H34" s="2">
        <v>3753</v>
      </c>
      <c r="I34" s="2">
        <v>1183</v>
      </c>
      <c r="J34" s="2">
        <v>3022</v>
      </c>
      <c r="K34" s="2">
        <v>2844</v>
      </c>
      <c r="L34" s="102">
        <v>1113</v>
      </c>
      <c r="M34" s="117">
        <v>3347</v>
      </c>
      <c r="N34" s="117">
        <v>3936</v>
      </c>
      <c r="O34" s="117">
        <v>1956</v>
      </c>
      <c r="P34" s="117">
        <v>3473</v>
      </c>
      <c r="Q34" s="117">
        <v>4725</v>
      </c>
      <c r="R34" s="1">
        <v>5282</v>
      </c>
      <c r="S34" s="1">
        <v>7063</v>
      </c>
      <c r="T34" s="1">
        <v>5741</v>
      </c>
      <c r="U34" s="1">
        <v>6870</v>
      </c>
    </row>
    <row r="35" spans="1:21" x14ac:dyDescent="0.2">
      <c r="A35" s="26" t="s">
        <v>11</v>
      </c>
      <c r="B35" s="39">
        <v>498</v>
      </c>
      <c r="C35" s="39">
        <v>3303</v>
      </c>
      <c r="D35" s="40">
        <v>5798</v>
      </c>
      <c r="E35" s="40">
        <v>2338.33</v>
      </c>
      <c r="F35" s="40">
        <v>3555</v>
      </c>
      <c r="G35" s="39">
        <v>1200</v>
      </c>
      <c r="H35" s="40">
        <v>951</v>
      </c>
      <c r="I35" s="40">
        <v>5587</v>
      </c>
      <c r="J35" s="40">
        <v>4566</v>
      </c>
      <c r="K35" s="40">
        <v>1618</v>
      </c>
      <c r="L35" s="95">
        <v>1964</v>
      </c>
      <c r="M35" s="95">
        <v>1322</v>
      </c>
      <c r="N35" s="95">
        <v>2672</v>
      </c>
      <c r="O35" s="95">
        <v>4214</v>
      </c>
      <c r="P35" s="95">
        <v>3387</v>
      </c>
      <c r="Q35" s="95">
        <v>2695</v>
      </c>
      <c r="R35" s="1">
        <v>6084</v>
      </c>
      <c r="S35" s="1">
        <v>3469</v>
      </c>
      <c r="T35" s="1">
        <v>26093</v>
      </c>
      <c r="U35" s="1">
        <v>14038</v>
      </c>
    </row>
    <row r="36" spans="1:21" x14ac:dyDescent="0.2">
      <c r="B36" s="46">
        <f t="shared" ref="B36:H36" si="6">SUM(B24:B35)</f>
        <v>8187.26</v>
      </c>
      <c r="C36" s="46">
        <f t="shared" si="6"/>
        <v>25947.510000000002</v>
      </c>
      <c r="D36" s="41">
        <f t="shared" si="6"/>
        <v>45730.239999999998</v>
      </c>
      <c r="E36" s="41">
        <f t="shared" si="6"/>
        <v>42150.720000000001</v>
      </c>
      <c r="F36" s="41">
        <f t="shared" si="6"/>
        <v>17598.52</v>
      </c>
      <c r="G36" s="41">
        <f t="shared" si="6"/>
        <v>15806</v>
      </c>
      <c r="H36" s="41">
        <f t="shared" si="6"/>
        <v>9007</v>
      </c>
      <c r="I36" s="44">
        <f t="shared" ref="I36:O36" si="7">SUM(I24:I35)</f>
        <v>33804</v>
      </c>
      <c r="J36" s="44">
        <f t="shared" si="7"/>
        <v>37026</v>
      </c>
      <c r="K36" s="44">
        <f t="shared" si="7"/>
        <v>25851</v>
      </c>
      <c r="L36" s="96">
        <f t="shared" si="7"/>
        <v>40104</v>
      </c>
      <c r="M36" s="96">
        <f t="shared" si="7"/>
        <v>27922</v>
      </c>
      <c r="N36" s="96">
        <f t="shared" si="7"/>
        <v>40445</v>
      </c>
      <c r="O36" s="96">
        <f t="shared" si="7"/>
        <v>14848</v>
      </c>
      <c r="P36" s="96">
        <f t="shared" ref="P36:Q36" si="8">SUM(P24:P35)</f>
        <v>32415</v>
      </c>
      <c r="Q36" s="96">
        <f t="shared" si="8"/>
        <v>35564</v>
      </c>
      <c r="R36" s="126">
        <f t="shared" ref="R36:S36" si="9">SUM(R24:R35)</f>
        <v>66583</v>
      </c>
      <c r="S36" s="126">
        <f t="shared" si="9"/>
        <v>60142</v>
      </c>
      <c r="T36" s="126">
        <f t="shared" ref="T36:U36" si="10">SUM(T24:T35)</f>
        <v>103650</v>
      </c>
      <c r="U36" s="126">
        <f t="shared" si="10"/>
        <v>112220</v>
      </c>
    </row>
    <row r="37" spans="1:21" x14ac:dyDescent="0.2">
      <c r="B37" s="2"/>
      <c r="G37" s="7"/>
      <c r="L37" s="94"/>
    </row>
    <row r="39" spans="1:21" x14ac:dyDescent="0.2">
      <c r="A39" s="29" t="s">
        <v>253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"/>
      <c r="G42" s="1">
        <v>0</v>
      </c>
      <c r="H42" s="1">
        <v>0</v>
      </c>
      <c r="I42" s="1">
        <v>-11</v>
      </c>
      <c r="J42" s="1">
        <v>0</v>
      </c>
      <c r="K42" s="1">
        <v>0</v>
      </c>
      <c r="L42" s="1">
        <v>-17</v>
      </c>
      <c r="M42" s="1">
        <v>0</v>
      </c>
      <c r="N42" s="1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"/>
      <c r="G43" s="1">
        <v>-90</v>
      </c>
      <c r="H43" s="1">
        <v>-59</v>
      </c>
      <c r="I43" s="1">
        <v>0</v>
      </c>
      <c r="J43" s="1">
        <v>0</v>
      </c>
      <c r="K43" s="1">
        <v>0</v>
      </c>
      <c r="L43" s="1">
        <v>0</v>
      </c>
      <c r="M43" s="1">
        <v>-57</v>
      </c>
      <c r="N43" s="1">
        <v>-62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"/>
      <c r="G44" s="1">
        <v>-4</v>
      </c>
      <c r="H44" s="1">
        <v>-71</v>
      </c>
      <c r="I44" s="1">
        <v>0</v>
      </c>
      <c r="J44" s="1">
        <v>-30</v>
      </c>
      <c r="K44" s="1">
        <v>0</v>
      </c>
      <c r="L44" s="1">
        <v>0</v>
      </c>
      <c r="M44" s="1">
        <v>-1405</v>
      </c>
      <c r="N44" s="1">
        <v>0</v>
      </c>
      <c r="O44" s="117">
        <v>0</v>
      </c>
      <c r="P44" s="117">
        <v>0</v>
      </c>
      <c r="Q44" s="117">
        <v>0</v>
      </c>
      <c r="R44" s="113">
        <v>-2822</v>
      </c>
      <c r="S44" s="117">
        <v>0</v>
      </c>
      <c r="T44" s="117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"/>
      <c r="G45" s="1">
        <v>0</v>
      </c>
      <c r="H45" s="1">
        <v>0</v>
      </c>
      <c r="I45" s="1">
        <v>0</v>
      </c>
      <c r="J45" s="1">
        <v>0</v>
      </c>
      <c r="K45" s="1">
        <v>-25</v>
      </c>
      <c r="L45" s="1">
        <v>0</v>
      </c>
      <c r="M45" s="1">
        <v>-26</v>
      </c>
      <c r="N45" s="1">
        <v>-176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-1</v>
      </c>
    </row>
    <row r="46" spans="1:21" x14ac:dyDescent="0.2">
      <c r="A46" s="26" t="s">
        <v>4</v>
      </c>
      <c r="B46" s="151"/>
      <c r="C46" s="151"/>
      <c r="D46" s="151"/>
      <c r="E46" s="151"/>
      <c r="F46" s="1"/>
      <c r="G46" s="1">
        <v>0</v>
      </c>
      <c r="H46" s="1">
        <v>0</v>
      </c>
      <c r="I46" s="1">
        <v>0</v>
      </c>
      <c r="J46" s="1">
        <v>0</v>
      </c>
      <c r="K46" s="1">
        <v>-12</v>
      </c>
      <c r="L46" s="1">
        <v>0</v>
      </c>
      <c r="M46" s="1">
        <v>0</v>
      </c>
      <c r="N46" s="1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"/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17">
        <v>0</v>
      </c>
      <c r="P47" s="117">
        <v>0</v>
      </c>
      <c r="Q47" s="117">
        <v>0</v>
      </c>
      <c r="R47" s="1">
        <v>-9</v>
      </c>
      <c r="S47" s="117">
        <v>0</v>
      </c>
      <c r="T47" s="117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"/>
      <c r="G48" s="1">
        <v>-8</v>
      </c>
      <c r="H48" s="1">
        <v>0</v>
      </c>
      <c r="I48" s="1">
        <v>-430</v>
      </c>
      <c r="J48" s="1">
        <v>0</v>
      </c>
      <c r="K48" s="1">
        <v>0</v>
      </c>
      <c r="L48" s="1">
        <v>-13063</v>
      </c>
      <c r="M48" s="1">
        <v>0</v>
      </c>
      <c r="N48" s="1">
        <v>0</v>
      </c>
      <c r="O48" s="117">
        <v>-5197</v>
      </c>
      <c r="P48" s="117">
        <v>0</v>
      </c>
      <c r="Q48" s="117">
        <v>0</v>
      </c>
      <c r="R48" s="151">
        <v>-2813</v>
      </c>
      <c r="S48" s="117">
        <v>0</v>
      </c>
      <c r="T48" s="117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"/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17">
        <v>-87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"/>
      <c r="G50" s="1">
        <v>0</v>
      </c>
      <c r="H50" s="1">
        <v>0</v>
      </c>
      <c r="I50" s="1">
        <v>0</v>
      </c>
      <c r="J50" s="1">
        <v>0</v>
      </c>
      <c r="K50" s="1">
        <v>-3248</v>
      </c>
      <c r="L50" s="1">
        <v>-200</v>
      </c>
      <c r="M50" s="1">
        <v>-5</v>
      </c>
      <c r="N50" s="1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-39</v>
      </c>
    </row>
    <row r="51" spans="1:21" x14ac:dyDescent="0.2">
      <c r="A51" s="26" t="s">
        <v>9</v>
      </c>
      <c r="B51" s="151"/>
      <c r="C51" s="151"/>
      <c r="D51" s="151"/>
      <c r="E51" s="151"/>
      <c r="F51" s="1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17">
        <v>-26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-15</v>
      </c>
    </row>
    <row r="52" spans="1:21" x14ac:dyDescent="0.2">
      <c r="A52" s="26" t="s">
        <v>10</v>
      </c>
      <c r="B52" s="160"/>
      <c r="C52" s="160"/>
      <c r="D52" s="160"/>
      <c r="E52" s="160"/>
      <c r="F52" s="1"/>
      <c r="G52" s="1">
        <v>0</v>
      </c>
      <c r="H52" s="1">
        <v>0</v>
      </c>
      <c r="I52" s="1">
        <v>-166</v>
      </c>
      <c r="J52" s="1">
        <v>0</v>
      </c>
      <c r="K52" s="1">
        <v>0</v>
      </c>
      <c r="L52" s="1">
        <v>0</v>
      </c>
      <c r="M52" s="1">
        <v>-16</v>
      </c>
      <c r="N52" s="1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39">
        <v>0</v>
      </c>
      <c r="G53" s="39">
        <v>0</v>
      </c>
      <c r="H53" s="39">
        <v>0</v>
      </c>
      <c r="I53" s="39">
        <v>-2799</v>
      </c>
      <c r="J53" s="39">
        <v>0</v>
      </c>
      <c r="K53" s="39">
        <v>0</v>
      </c>
      <c r="L53" s="39">
        <v>-1149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1">
        <v>-870</v>
      </c>
      <c r="S53" s="53">
        <v>-546</v>
      </c>
      <c r="T53" s="53">
        <v>0</v>
      </c>
      <c r="U53" s="5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O54" si="11">SUM(G42:G53)</f>
        <v>-102</v>
      </c>
      <c r="H54" s="126">
        <f t="shared" si="11"/>
        <v>-130</v>
      </c>
      <c r="I54" s="126">
        <f t="shared" si="11"/>
        <v>-3406</v>
      </c>
      <c r="J54" s="126">
        <f t="shared" si="11"/>
        <v>-30</v>
      </c>
      <c r="K54" s="126">
        <f t="shared" si="11"/>
        <v>-3285</v>
      </c>
      <c r="L54" s="126">
        <f t="shared" si="11"/>
        <v>-14429</v>
      </c>
      <c r="M54" s="126">
        <f t="shared" si="11"/>
        <v>-1509</v>
      </c>
      <c r="N54" s="126">
        <f t="shared" si="11"/>
        <v>-238</v>
      </c>
      <c r="O54" s="96">
        <f t="shared" si="11"/>
        <v>-5310</v>
      </c>
      <c r="P54" s="96">
        <f t="shared" ref="P54:Q54" si="12">SUM(P42:P53)</f>
        <v>0</v>
      </c>
      <c r="Q54" s="96">
        <f t="shared" si="12"/>
        <v>0</v>
      </c>
      <c r="R54" s="126">
        <f t="shared" ref="R54:S54" si="13">SUM(R42:R53)</f>
        <v>-6514</v>
      </c>
      <c r="S54" s="126">
        <f t="shared" si="13"/>
        <v>-546</v>
      </c>
      <c r="T54" s="126">
        <f t="shared" ref="T54:U54" si="14">SUM(T42:T53)</f>
        <v>0</v>
      </c>
      <c r="U54" s="126">
        <f t="shared" si="14"/>
        <v>-55</v>
      </c>
    </row>
    <row r="57" spans="1:21" x14ac:dyDescent="0.2">
      <c r="A57" s="24" t="s">
        <v>443</v>
      </c>
      <c r="B57" s="148">
        <v>0.01</v>
      </c>
      <c r="C57" s="94" t="s">
        <v>444</v>
      </c>
      <c r="L57" s="94"/>
    </row>
    <row r="58" spans="1:21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B59" s="2"/>
    </row>
    <row r="60" spans="1:21" x14ac:dyDescent="0.2">
      <c r="A60" s="26" t="s">
        <v>0</v>
      </c>
      <c r="B60" s="1"/>
      <c r="C60" s="1"/>
      <c r="D60" s="2"/>
      <c r="E60" s="2"/>
      <c r="F60" s="2"/>
      <c r="G60" s="1"/>
      <c r="H60" s="2"/>
      <c r="I60" s="2"/>
      <c r="J60" s="2"/>
      <c r="K60" s="2"/>
      <c r="L60" s="102"/>
      <c r="M60" s="117"/>
      <c r="N60" s="117"/>
      <c r="O60" s="117"/>
      <c r="P60" s="117"/>
      <c r="Q60" s="117"/>
      <c r="R60" s="1"/>
      <c r="S60" s="1">
        <v>1521</v>
      </c>
      <c r="T60" s="1">
        <v>7519</v>
      </c>
      <c r="U60" s="1">
        <v>4419</v>
      </c>
    </row>
    <row r="61" spans="1:21" x14ac:dyDescent="0.2">
      <c r="A61" s="26" t="s">
        <v>1</v>
      </c>
      <c r="B61" s="1"/>
      <c r="C61" s="1"/>
      <c r="D61" s="2"/>
      <c r="E61" s="2"/>
      <c r="F61" s="2"/>
      <c r="G61" s="1"/>
      <c r="H61" s="2"/>
      <c r="I61" s="2"/>
      <c r="J61" s="2"/>
      <c r="K61" s="2"/>
      <c r="L61" s="102"/>
      <c r="M61" s="117"/>
      <c r="N61" s="117"/>
      <c r="O61" s="117"/>
      <c r="P61" s="117"/>
      <c r="Q61" s="117"/>
      <c r="R61" s="1"/>
      <c r="S61" s="1">
        <v>2642</v>
      </c>
      <c r="T61" s="1">
        <v>4741</v>
      </c>
      <c r="U61" s="1">
        <v>6567</v>
      </c>
    </row>
    <row r="62" spans="1:21" x14ac:dyDescent="0.2">
      <c r="A62" s="26" t="s">
        <v>2</v>
      </c>
      <c r="B62" s="1"/>
      <c r="C62" s="1"/>
      <c r="D62" s="2"/>
      <c r="E62" s="2"/>
      <c r="F62" s="2"/>
      <c r="G62" s="1"/>
      <c r="H62" s="2"/>
      <c r="I62" s="2"/>
      <c r="J62" s="2"/>
      <c r="K62" s="2"/>
      <c r="L62" s="102"/>
      <c r="M62" s="117"/>
      <c r="N62" s="117"/>
      <c r="O62" s="117"/>
      <c r="P62" s="117"/>
      <c r="Q62" s="117"/>
      <c r="R62" s="1"/>
      <c r="S62" s="1">
        <v>2846</v>
      </c>
      <c r="T62" s="1">
        <v>5248</v>
      </c>
      <c r="U62" s="1">
        <v>1709</v>
      </c>
    </row>
    <row r="63" spans="1:21" x14ac:dyDescent="0.2">
      <c r="A63" s="26" t="s">
        <v>3</v>
      </c>
      <c r="B63" s="1"/>
      <c r="C63" s="1"/>
      <c r="D63" s="2"/>
      <c r="E63" s="2"/>
      <c r="F63" s="2"/>
      <c r="G63" s="1"/>
      <c r="H63" s="2"/>
      <c r="I63" s="2"/>
      <c r="J63" s="2"/>
      <c r="K63" s="2"/>
      <c r="L63" s="102"/>
      <c r="M63" s="117"/>
      <c r="N63" s="117"/>
      <c r="O63" s="117"/>
      <c r="P63" s="117"/>
      <c r="Q63" s="117"/>
      <c r="R63" s="1"/>
      <c r="S63" s="1">
        <v>4244</v>
      </c>
      <c r="T63" s="1">
        <v>5373</v>
      </c>
      <c r="U63" s="1">
        <v>5238</v>
      </c>
    </row>
    <row r="64" spans="1:21" x14ac:dyDescent="0.2">
      <c r="A64" s="26" t="s">
        <v>4</v>
      </c>
      <c r="B64" s="1"/>
      <c r="C64" s="1"/>
      <c r="D64" s="2"/>
      <c r="E64" s="2"/>
      <c r="F64" s="2"/>
      <c r="G64" s="1"/>
      <c r="H64" s="2"/>
      <c r="I64" s="2"/>
      <c r="J64" s="2"/>
      <c r="K64" s="2"/>
      <c r="L64" s="102"/>
      <c r="M64" s="117"/>
      <c r="N64" s="117"/>
      <c r="O64" s="117"/>
      <c r="P64" s="117"/>
      <c r="Q64" s="117"/>
      <c r="R64" s="1"/>
      <c r="S64" s="1">
        <v>4458</v>
      </c>
      <c r="T64" s="1">
        <v>4305</v>
      </c>
      <c r="U64" s="1">
        <v>3934</v>
      </c>
    </row>
    <row r="65" spans="1:21" x14ac:dyDescent="0.2">
      <c r="A65" s="26" t="s">
        <v>5</v>
      </c>
      <c r="B65" s="1"/>
      <c r="C65" s="1"/>
      <c r="D65" s="2"/>
      <c r="E65" s="2"/>
      <c r="F65" s="2"/>
      <c r="G65" s="1"/>
      <c r="H65" s="2"/>
      <c r="I65" s="2"/>
      <c r="J65" s="2"/>
      <c r="K65" s="2"/>
      <c r="L65" s="102"/>
      <c r="M65" s="117"/>
      <c r="N65" s="117"/>
      <c r="O65" s="117"/>
      <c r="P65" s="117"/>
      <c r="Q65" s="117"/>
      <c r="R65" s="113"/>
      <c r="S65" s="1">
        <v>6213</v>
      </c>
      <c r="T65" s="1">
        <v>6963</v>
      </c>
      <c r="U65" s="1">
        <v>6262</v>
      </c>
    </row>
    <row r="66" spans="1:21" x14ac:dyDescent="0.2">
      <c r="A66" s="26" t="s">
        <v>6</v>
      </c>
      <c r="B66" s="1"/>
      <c r="C66" s="1"/>
      <c r="D66" s="2"/>
      <c r="E66" s="2"/>
      <c r="F66" s="2"/>
      <c r="G66" s="1"/>
      <c r="H66" s="2"/>
      <c r="I66" s="2"/>
      <c r="J66" s="2"/>
      <c r="K66" s="2"/>
      <c r="L66" s="102"/>
      <c r="M66" s="117"/>
      <c r="N66" s="117"/>
      <c r="O66" s="117"/>
      <c r="P66" s="117"/>
      <c r="Q66" s="117"/>
      <c r="R66" s="1"/>
      <c r="S66" s="1">
        <v>7183</v>
      </c>
      <c r="T66" s="1">
        <v>10939</v>
      </c>
      <c r="U66" s="1">
        <v>10727</v>
      </c>
    </row>
    <row r="67" spans="1:21" x14ac:dyDescent="0.2">
      <c r="A67" s="26" t="s">
        <v>7</v>
      </c>
      <c r="B67" s="1"/>
      <c r="C67" s="1"/>
      <c r="D67" s="2"/>
      <c r="E67" s="2"/>
      <c r="F67" s="2"/>
      <c r="G67" s="1"/>
      <c r="H67" s="2"/>
      <c r="I67" s="2"/>
      <c r="J67" s="2"/>
      <c r="K67" s="2"/>
      <c r="L67" s="102"/>
      <c r="M67" s="117"/>
      <c r="N67" s="117"/>
      <c r="O67" s="117"/>
      <c r="P67" s="117"/>
      <c r="Q67" s="117"/>
      <c r="R67" s="1"/>
      <c r="S67" s="1">
        <v>16385</v>
      </c>
      <c r="T67" s="1">
        <v>13708</v>
      </c>
      <c r="U67" s="1">
        <v>13172</v>
      </c>
    </row>
    <row r="68" spans="1:21" x14ac:dyDescent="0.2">
      <c r="A68" s="26" t="s">
        <v>8</v>
      </c>
      <c r="B68" s="1"/>
      <c r="C68" s="1"/>
      <c r="D68" s="2"/>
      <c r="E68" s="2"/>
      <c r="F68" s="2"/>
      <c r="G68" s="1"/>
      <c r="H68" s="2"/>
      <c r="I68" s="2"/>
      <c r="J68" s="2"/>
      <c r="K68" s="2"/>
      <c r="L68" s="102"/>
      <c r="M68" s="117"/>
      <c r="N68" s="117"/>
      <c r="O68" s="117"/>
      <c r="P68" s="117"/>
      <c r="Q68" s="117"/>
      <c r="R68" s="2"/>
      <c r="S68" s="1">
        <v>12456</v>
      </c>
      <c r="T68" s="1">
        <v>14414</v>
      </c>
      <c r="U68" s="1">
        <v>13957</v>
      </c>
    </row>
    <row r="69" spans="1:21" x14ac:dyDescent="0.2">
      <c r="A69" s="26" t="s">
        <v>9</v>
      </c>
      <c r="B69" s="1"/>
      <c r="C69" s="1"/>
      <c r="D69" s="2"/>
      <c r="E69" s="2"/>
      <c r="F69" s="2"/>
      <c r="G69" s="1"/>
      <c r="H69" s="2"/>
      <c r="I69" s="2"/>
      <c r="J69" s="2"/>
      <c r="K69" s="2"/>
      <c r="L69" s="102"/>
      <c r="M69" s="117"/>
      <c r="N69" s="117"/>
      <c r="O69" s="117"/>
      <c r="P69" s="117"/>
      <c r="Q69" s="117"/>
      <c r="R69" s="1"/>
      <c r="S69" s="1">
        <v>11156</v>
      </c>
      <c r="T69" s="1">
        <v>11774</v>
      </c>
      <c r="U69" s="1">
        <v>12952</v>
      </c>
    </row>
    <row r="70" spans="1:21" x14ac:dyDescent="0.2">
      <c r="A70" s="26" t="s">
        <v>10</v>
      </c>
      <c r="B70" s="53"/>
      <c r="C70" s="53"/>
      <c r="D70" s="2"/>
      <c r="E70" s="2"/>
      <c r="F70" s="2"/>
      <c r="G70" s="1"/>
      <c r="H70" s="2"/>
      <c r="I70" s="2"/>
      <c r="J70" s="2"/>
      <c r="K70" s="2"/>
      <c r="L70" s="102"/>
      <c r="M70" s="117"/>
      <c r="N70" s="117"/>
      <c r="O70" s="117"/>
      <c r="P70" s="117"/>
      <c r="Q70" s="117"/>
      <c r="R70" s="1">
        <v>5557</v>
      </c>
      <c r="S70" s="1">
        <v>9813</v>
      </c>
      <c r="T70" s="1">
        <v>9574</v>
      </c>
      <c r="U70" s="1">
        <v>8725</v>
      </c>
    </row>
    <row r="71" spans="1:21" x14ac:dyDescent="0.2">
      <c r="A71" s="26" t="s">
        <v>11</v>
      </c>
      <c r="B71" s="39"/>
      <c r="C71" s="39"/>
      <c r="D71" s="40"/>
      <c r="E71" s="40"/>
      <c r="F71" s="40"/>
      <c r="G71" s="39"/>
      <c r="H71" s="40"/>
      <c r="I71" s="40"/>
      <c r="J71" s="40"/>
      <c r="K71" s="40"/>
      <c r="L71" s="95"/>
      <c r="M71" s="95"/>
      <c r="N71" s="95"/>
      <c r="O71" s="95"/>
      <c r="P71" s="95"/>
      <c r="Q71" s="95"/>
      <c r="R71" s="1">
        <v>1934</v>
      </c>
      <c r="S71" s="1">
        <v>3616</v>
      </c>
      <c r="T71" s="1">
        <v>3520</v>
      </c>
      <c r="U71" s="1">
        <v>3185</v>
      </c>
    </row>
    <row r="72" spans="1:21" x14ac:dyDescent="0.2">
      <c r="B72" s="46">
        <f t="shared" ref="B72:Q72" si="15">SUM(B60:B71)</f>
        <v>0</v>
      </c>
      <c r="C72" s="46">
        <f t="shared" si="15"/>
        <v>0</v>
      </c>
      <c r="D72" s="41">
        <f t="shared" si="15"/>
        <v>0</v>
      </c>
      <c r="E72" s="41">
        <f t="shared" si="15"/>
        <v>0</v>
      </c>
      <c r="F72" s="41">
        <f t="shared" si="15"/>
        <v>0</v>
      </c>
      <c r="G72" s="41">
        <f t="shared" si="15"/>
        <v>0</v>
      </c>
      <c r="H72" s="41">
        <f t="shared" si="15"/>
        <v>0</v>
      </c>
      <c r="I72" s="44">
        <f t="shared" si="15"/>
        <v>0</v>
      </c>
      <c r="J72" s="44">
        <f t="shared" si="15"/>
        <v>0</v>
      </c>
      <c r="K72" s="44">
        <f t="shared" si="15"/>
        <v>0</v>
      </c>
      <c r="L72" s="96">
        <f t="shared" si="15"/>
        <v>0</v>
      </c>
      <c r="M72" s="96">
        <f t="shared" si="15"/>
        <v>0</v>
      </c>
      <c r="N72" s="96">
        <f t="shared" si="15"/>
        <v>0</v>
      </c>
      <c r="O72" s="96">
        <f t="shared" si="15"/>
        <v>0</v>
      </c>
      <c r="P72" s="96">
        <f t="shared" si="15"/>
        <v>0</v>
      </c>
      <c r="Q72" s="96">
        <f t="shared" si="15"/>
        <v>0</v>
      </c>
      <c r="R72" s="126">
        <f t="shared" ref="R72:S72" si="16">SUM(R60:R71)</f>
        <v>7491</v>
      </c>
      <c r="S72" s="126">
        <f t="shared" si="16"/>
        <v>82533</v>
      </c>
      <c r="T72" s="126">
        <f t="shared" ref="T72:U72" si="17">SUM(T60:T71)</f>
        <v>98078</v>
      </c>
      <c r="U72" s="126">
        <f t="shared" si="17"/>
        <v>90847</v>
      </c>
    </row>
  </sheetData>
  <phoneticPr fontId="4" type="noConversion"/>
  <pageMargins left="0.21" right="0.2" top="1" bottom="1" header="0.5" footer="0.5"/>
  <pageSetup orientation="landscape" r:id="rId1"/>
  <headerFooter alignWithMargins="0">
    <oddHeader>&amp;A</oddHeader>
  </headerFooter>
  <legacy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BAAE-ED2A-4415-9C29-A40DCEE48D0D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1" width="10.7109375" bestFit="1" customWidth="1"/>
  </cols>
  <sheetData>
    <row r="1" spans="1:21" x14ac:dyDescent="0.2">
      <c r="A1" s="121" t="s">
        <v>417</v>
      </c>
    </row>
    <row r="2" spans="1:21" x14ac:dyDescent="0.2">
      <c r="A2" s="24" t="s">
        <v>84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4</v>
      </c>
      <c r="S5" s="1">
        <v>227611</v>
      </c>
      <c r="T5" s="1">
        <v>239591</v>
      </c>
      <c r="U5" s="1">
        <v>279026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134635</v>
      </c>
      <c r="S6" s="1">
        <v>186435</v>
      </c>
      <c r="T6" s="1">
        <v>202549</v>
      </c>
      <c r="U6" s="1">
        <v>206154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141272</v>
      </c>
      <c r="S7" s="1">
        <v>181616</v>
      </c>
      <c r="T7" s="1">
        <v>203142</v>
      </c>
      <c r="U7" s="1">
        <v>208149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174133</v>
      </c>
      <c r="S8" s="1">
        <v>235384</v>
      </c>
      <c r="T8" s="1">
        <v>235866</v>
      </c>
      <c r="U8" s="1">
        <v>244059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230136</v>
      </c>
      <c r="S9" s="1">
        <v>217836</v>
      </c>
      <c r="T9" s="1">
        <v>233312</v>
      </c>
      <c r="U9" s="1">
        <v>244766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212625</v>
      </c>
      <c r="S10" s="1">
        <v>237416</v>
      </c>
      <c r="T10" s="1">
        <v>300558</v>
      </c>
      <c r="U10" s="1">
        <v>278579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187100</v>
      </c>
      <c r="S11" s="1">
        <v>248125</v>
      </c>
      <c r="T11" s="1">
        <v>265347</v>
      </c>
      <c r="U11" s="1">
        <v>294349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243098</v>
      </c>
      <c r="S12" s="1">
        <v>246224</v>
      </c>
      <c r="T12" s="1">
        <v>257976</v>
      </c>
      <c r="U12" s="1">
        <v>249377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207031</v>
      </c>
      <c r="S13" s="1">
        <v>225614</v>
      </c>
      <c r="T13" s="1">
        <v>266549</v>
      </c>
      <c r="U13" s="1">
        <v>260624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208863</v>
      </c>
      <c r="S14" s="1">
        <v>242232</v>
      </c>
      <c r="T14" s="1">
        <v>307293</v>
      </c>
      <c r="U14" s="1">
        <v>269176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202661</v>
      </c>
      <c r="S15" s="1">
        <v>212013</v>
      </c>
      <c r="T15" s="1">
        <v>243363</v>
      </c>
      <c r="U15" s="1">
        <v>256278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202999</v>
      </c>
      <c r="S16" s="1">
        <v>204303</v>
      </c>
      <c r="T16" s="1">
        <v>292401</v>
      </c>
      <c r="U16" s="1">
        <v>263114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2144557</v>
      </c>
      <c r="S17" s="126">
        <f>SUM(S5:S16)</f>
        <v>2664809</v>
      </c>
      <c r="T17" s="126">
        <f t="shared" ref="T17" si="1">SUM(T5:T16)</f>
        <v>3047947</v>
      </c>
      <c r="U17" s="126">
        <f>SUM(U5:U16)</f>
        <v>3053651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16460</v>
      </c>
      <c r="T24" s="1">
        <v>22215</v>
      </c>
      <c r="U24" s="1">
        <v>18280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10249</v>
      </c>
      <c r="S25" s="1">
        <v>14493</v>
      </c>
      <c r="T25" s="1">
        <v>14521</v>
      </c>
      <c r="U25" s="1">
        <v>14351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8442</v>
      </c>
      <c r="S26" s="1">
        <v>14372</v>
      </c>
      <c r="T26" s="1">
        <v>10771</v>
      </c>
      <c r="U26" s="1">
        <v>12942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10636</v>
      </c>
      <c r="S27" s="1">
        <v>29879</v>
      </c>
      <c r="T27" s="1">
        <v>19080</v>
      </c>
      <c r="U27" s="1">
        <v>16934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16835</v>
      </c>
      <c r="S28" s="1">
        <v>17691</v>
      </c>
      <c r="T28" s="1">
        <v>15825</v>
      </c>
      <c r="U28" s="1">
        <v>14879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14949</v>
      </c>
      <c r="S29" s="1">
        <v>21172</v>
      </c>
      <c r="T29" s="1">
        <v>16324</v>
      </c>
      <c r="U29" s="1">
        <v>18097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17498</v>
      </c>
      <c r="S30" s="1">
        <v>27007</v>
      </c>
      <c r="T30" s="1">
        <v>26976</v>
      </c>
      <c r="U30" s="1">
        <v>25619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15830</v>
      </c>
      <c r="S31" s="1">
        <v>20237</v>
      </c>
      <c r="T31" s="1">
        <v>15690</v>
      </c>
      <c r="U31" s="1">
        <v>18718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13964</v>
      </c>
      <c r="S32" s="1">
        <v>16187</v>
      </c>
      <c r="T32" s="1">
        <v>17956</v>
      </c>
      <c r="U32" s="1">
        <v>21689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19949</v>
      </c>
      <c r="S33" s="1">
        <v>14337</v>
      </c>
      <c r="T33" s="1">
        <v>18362</v>
      </c>
      <c r="U33" s="1">
        <v>16639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13092</v>
      </c>
      <c r="S34" s="1">
        <v>15449</v>
      </c>
      <c r="T34" s="1">
        <v>13705</v>
      </c>
      <c r="U34" s="1">
        <v>15688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14639</v>
      </c>
      <c r="S35" s="1">
        <v>13903</v>
      </c>
      <c r="T35" s="1">
        <v>21049</v>
      </c>
      <c r="U35" s="1">
        <v>18432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156083</v>
      </c>
      <c r="S36" s="126">
        <f>SUM(S24:S35)</f>
        <v>221187</v>
      </c>
      <c r="T36" s="126">
        <f t="shared" ref="T36" si="3">SUM(T24:T35)</f>
        <v>212474</v>
      </c>
      <c r="U36" s="126">
        <f>SUM(U24:U35)</f>
        <v>212268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-24</v>
      </c>
      <c r="T42" s="1">
        <v>-1114</v>
      </c>
      <c r="U42" s="1">
        <v>-194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-10</v>
      </c>
      <c r="T43" s="1">
        <v>-483</v>
      </c>
      <c r="U43" s="1">
        <v>-176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-86</v>
      </c>
      <c r="T44" s="1">
        <v>-220</v>
      </c>
      <c r="U44" s="1">
        <v>-49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-202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-1013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-175</v>
      </c>
      <c r="T47" s="1">
        <v>-959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-131</v>
      </c>
      <c r="U48" s="1">
        <v>-6486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-6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-39</v>
      </c>
      <c r="S50" s="117">
        <v>0</v>
      </c>
      <c r="T50" s="1">
        <v>-11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-56</v>
      </c>
      <c r="S51" s="117">
        <v>-137</v>
      </c>
      <c r="T51" s="1">
        <v>0</v>
      </c>
      <c r="U51" s="1">
        <v>-11415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-33</v>
      </c>
      <c r="S52" s="117">
        <v>-1</v>
      </c>
      <c r="T52" s="1">
        <v>-1219</v>
      </c>
      <c r="U52" s="1">
        <v>-119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>
        <v>-343</v>
      </c>
      <c r="S53" s="182">
        <v>0</v>
      </c>
      <c r="T53" s="1">
        <v>-214</v>
      </c>
      <c r="U53" s="1">
        <v>-133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-471</v>
      </c>
      <c r="S54" s="126">
        <f>SUM(S42:S53)</f>
        <v>-433</v>
      </c>
      <c r="T54" s="126">
        <f t="shared" ref="T54" si="5">SUM(T42:T53)</f>
        <v>-4357</v>
      </c>
      <c r="U54" s="126">
        <f>SUM(U42:U53)</f>
        <v>-19787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2A80-9272-49ED-9A95-CCAE8E7359F6}"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0" width="9.28515625" bestFit="1" customWidth="1"/>
  </cols>
  <sheetData>
    <row r="1" spans="1:21" x14ac:dyDescent="0.2">
      <c r="A1" s="121"/>
    </row>
    <row r="2" spans="1:21" x14ac:dyDescent="0.2">
      <c r="A2" s="24" t="s">
        <v>413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2</v>
      </c>
      <c r="S5" s="1">
        <v>50048</v>
      </c>
      <c r="T5" s="1">
        <v>58207</v>
      </c>
      <c r="U5" s="1">
        <v>60221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31493</v>
      </c>
      <c r="S6" s="1">
        <v>39810</v>
      </c>
      <c r="T6" s="1">
        <v>45530</v>
      </c>
      <c r="U6" s="1">
        <v>48128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32859</v>
      </c>
      <c r="S7" s="1">
        <v>38066</v>
      </c>
      <c r="T7" s="1">
        <v>39244</v>
      </c>
      <c r="U7" s="1">
        <v>42813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37318</v>
      </c>
      <c r="S8" s="1">
        <v>49306</v>
      </c>
      <c r="T8" s="1">
        <v>52192</v>
      </c>
      <c r="U8" s="1">
        <v>50631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37740</v>
      </c>
      <c r="S9" s="1">
        <v>51787</v>
      </c>
      <c r="T9" s="1">
        <v>51785</v>
      </c>
      <c r="U9" s="1">
        <v>49111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47567</v>
      </c>
      <c r="S10" s="1">
        <v>53114</v>
      </c>
      <c r="T10" s="1">
        <v>58102</v>
      </c>
      <c r="U10" s="1">
        <v>60305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45271</v>
      </c>
      <c r="S11" s="1">
        <v>51769</v>
      </c>
      <c r="T11" s="1">
        <v>67135</v>
      </c>
      <c r="U11" s="1">
        <v>66455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48804</v>
      </c>
      <c r="S12" s="1">
        <v>49872</v>
      </c>
      <c r="T12" s="1">
        <v>67035</v>
      </c>
      <c r="U12" s="1">
        <v>58906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47093</v>
      </c>
      <c r="S13" s="1">
        <v>52152</v>
      </c>
      <c r="T13" s="1">
        <v>58172</v>
      </c>
      <c r="U13" s="1">
        <v>59553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47063</v>
      </c>
      <c r="S14" s="1">
        <v>52890</v>
      </c>
      <c r="T14" s="1">
        <v>56124</v>
      </c>
      <c r="U14" s="1">
        <v>61763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43663</v>
      </c>
      <c r="S15" s="1">
        <v>46332</v>
      </c>
      <c r="T15" s="1">
        <v>55606</v>
      </c>
      <c r="U15" s="1">
        <v>53475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44592</v>
      </c>
      <c r="S16" s="1">
        <v>53478</v>
      </c>
      <c r="T16" s="1">
        <v>54956</v>
      </c>
      <c r="U16" s="1">
        <v>54236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463465</v>
      </c>
      <c r="S17" s="126">
        <f>SUM(S5:S16)</f>
        <v>588624</v>
      </c>
      <c r="T17" s="126">
        <f t="shared" ref="T17" si="1">SUM(T5:T16)</f>
        <v>664088</v>
      </c>
      <c r="U17" s="126">
        <f>SUM(U5:U16)</f>
        <v>665597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414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1811</v>
      </c>
      <c r="T24" s="1">
        <v>2506</v>
      </c>
      <c r="U24" s="1">
        <v>2336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1131</v>
      </c>
      <c r="S25" s="1">
        <v>1555</v>
      </c>
      <c r="T25" s="1">
        <v>1704</v>
      </c>
      <c r="U25" s="1">
        <v>1428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1253</v>
      </c>
      <c r="S26" s="1">
        <v>1561</v>
      </c>
      <c r="T26" s="1">
        <v>1765</v>
      </c>
      <c r="U26" s="1">
        <v>2464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1964</v>
      </c>
      <c r="S27" s="1">
        <v>2204</v>
      </c>
      <c r="T27" s="1">
        <v>1997</v>
      </c>
      <c r="U27" s="1">
        <v>1899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1912</v>
      </c>
      <c r="S28" s="1">
        <v>1572</v>
      </c>
      <c r="T28" s="1">
        <v>1716</v>
      </c>
      <c r="U28" s="1">
        <v>913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2276</v>
      </c>
      <c r="S29" s="1">
        <v>2179</v>
      </c>
      <c r="T29" s="1">
        <v>2799</v>
      </c>
      <c r="U29" s="1">
        <v>2674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2356</v>
      </c>
      <c r="S30" s="1">
        <v>2651</v>
      </c>
      <c r="T30" s="1">
        <v>8293</v>
      </c>
      <c r="U30" s="1">
        <v>3135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1787</v>
      </c>
      <c r="S31" s="1">
        <v>1908</v>
      </c>
      <c r="T31" s="1">
        <v>3310</v>
      </c>
      <c r="U31" s="1">
        <v>2209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1926</v>
      </c>
      <c r="S32" s="1">
        <v>2264</v>
      </c>
      <c r="T32" s="1">
        <v>2671</v>
      </c>
      <c r="U32" s="1">
        <v>2551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1976</v>
      </c>
      <c r="S33" s="1">
        <v>3545</v>
      </c>
      <c r="T33" s="1">
        <v>2436</v>
      </c>
      <c r="U33" s="1">
        <v>2600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3068</v>
      </c>
      <c r="S34" s="1">
        <v>2017</v>
      </c>
      <c r="T34" s="1">
        <v>2141</v>
      </c>
      <c r="U34" s="1">
        <v>3472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2821</v>
      </c>
      <c r="S35" s="1">
        <v>2090</v>
      </c>
      <c r="T35" s="1">
        <v>1988</v>
      </c>
      <c r="U35" s="1">
        <v>2799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22470</v>
      </c>
      <c r="S36" s="126">
        <f>SUM(S24:S35)</f>
        <v>25357</v>
      </c>
      <c r="T36" s="126">
        <f t="shared" ref="T36" si="3">SUM(T24:T35)</f>
        <v>33326</v>
      </c>
      <c r="U36" s="126">
        <f>SUM(U24:U35)</f>
        <v>28480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415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-190</v>
      </c>
      <c r="T42" s="1">
        <v>-189</v>
      </c>
      <c r="U42" s="1">
        <v>-154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-177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-191</v>
      </c>
      <c r="T44" s="1">
        <v>0</v>
      </c>
      <c r="U44" s="1">
        <v>-37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-41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-2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-16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62">
        <v>-148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0</v>
      </c>
      <c r="S54" s="126">
        <f>SUM(S42:S53)</f>
        <v>-529</v>
      </c>
      <c r="T54" s="126">
        <f t="shared" ref="T54" si="5">SUM(T42:T53)</f>
        <v>-189</v>
      </c>
      <c r="U54" s="126">
        <f>SUM(U42:U53)</f>
        <v>-427</v>
      </c>
    </row>
    <row r="55" spans="1:21" x14ac:dyDescent="0.2">
      <c r="F55" s="2"/>
    </row>
    <row r="57" spans="1:21" x14ac:dyDescent="0.2">
      <c r="A57" s="24" t="s">
        <v>416</v>
      </c>
      <c r="B57" s="179">
        <v>20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18">
        <v>2016</v>
      </c>
      <c r="O58" s="18">
        <v>2017</v>
      </c>
      <c r="P58" s="18">
        <v>2018</v>
      </c>
      <c r="Q58" s="18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/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59"/>
      <c r="H60" s="54"/>
      <c r="I60" s="54"/>
      <c r="J60" s="2"/>
      <c r="K60" s="2"/>
      <c r="L60" s="54"/>
      <c r="M60" s="117"/>
      <c r="N60" s="117"/>
      <c r="O60" s="117"/>
      <c r="P60" s="117"/>
      <c r="Q60" s="117"/>
      <c r="R60" s="117">
        <v>0</v>
      </c>
      <c r="S60" s="1">
        <v>2900</v>
      </c>
      <c r="T60" s="1">
        <v>2540</v>
      </c>
      <c r="U60" s="1">
        <v>2300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59"/>
      <c r="H61" s="54"/>
      <c r="I61" s="54"/>
      <c r="J61" s="2"/>
      <c r="K61" s="2"/>
      <c r="L61" s="54"/>
      <c r="M61" s="117"/>
      <c r="N61" s="117"/>
      <c r="O61" s="117"/>
      <c r="P61" s="117"/>
      <c r="Q61" s="117"/>
      <c r="R61" s="117">
        <v>2080</v>
      </c>
      <c r="S61" s="1">
        <v>2440</v>
      </c>
      <c r="T61" s="1">
        <v>1920</v>
      </c>
      <c r="U61" s="1">
        <v>1760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59"/>
      <c r="H62" s="54"/>
      <c r="I62" s="54"/>
      <c r="J62" s="2"/>
      <c r="K62" s="2"/>
      <c r="L62" s="54"/>
      <c r="M62" s="117"/>
      <c r="N62" s="117"/>
      <c r="O62" s="117"/>
      <c r="P62" s="117"/>
      <c r="Q62" s="117"/>
      <c r="R62" s="117">
        <v>2660</v>
      </c>
      <c r="S62" s="117">
        <v>2400</v>
      </c>
      <c r="T62" s="1">
        <v>3600</v>
      </c>
      <c r="U62" s="1">
        <v>2020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59"/>
      <c r="H63" s="54"/>
      <c r="I63" s="54"/>
      <c r="J63" s="2"/>
      <c r="K63" s="2"/>
      <c r="L63" s="54"/>
      <c r="M63" s="117"/>
      <c r="N63" s="117"/>
      <c r="O63" s="117"/>
      <c r="P63" s="117"/>
      <c r="Q63" s="117"/>
      <c r="R63" s="117">
        <v>2300</v>
      </c>
      <c r="S63" s="1">
        <v>4160</v>
      </c>
      <c r="T63" s="1">
        <v>2860</v>
      </c>
      <c r="U63" s="1">
        <v>1980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59"/>
      <c r="H64" s="54"/>
      <c r="I64" s="54"/>
      <c r="J64" s="2"/>
      <c r="K64" s="2"/>
      <c r="L64" s="54"/>
      <c r="M64" s="117"/>
      <c r="N64" s="117"/>
      <c r="O64" s="117"/>
      <c r="P64" s="117"/>
      <c r="Q64" s="117"/>
      <c r="R64" s="117">
        <v>2360</v>
      </c>
      <c r="S64" s="117">
        <v>7300</v>
      </c>
      <c r="T64" s="1">
        <v>2120</v>
      </c>
      <c r="U64" s="1">
        <v>2200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59"/>
      <c r="H65" s="54"/>
      <c r="I65" s="54"/>
      <c r="J65" s="2"/>
      <c r="K65" s="2"/>
      <c r="L65" s="54"/>
      <c r="M65" s="117"/>
      <c r="N65" s="117"/>
      <c r="O65" s="117"/>
      <c r="P65" s="117"/>
      <c r="Q65" s="117"/>
      <c r="R65" s="117">
        <v>2640</v>
      </c>
      <c r="S65" s="1">
        <v>2440</v>
      </c>
      <c r="T65" s="1">
        <v>1420</v>
      </c>
      <c r="U65" s="1">
        <v>2080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54"/>
      <c r="H66" s="54"/>
      <c r="I66" s="54"/>
      <c r="J66" s="2"/>
      <c r="K66" s="2"/>
      <c r="L66" s="54"/>
      <c r="M66" s="117"/>
      <c r="N66" s="117"/>
      <c r="O66" s="117"/>
      <c r="P66" s="117"/>
      <c r="Q66" s="117"/>
      <c r="R66" s="1">
        <v>2560</v>
      </c>
      <c r="S66" s="1">
        <v>3180</v>
      </c>
      <c r="T66" s="1">
        <v>2160</v>
      </c>
      <c r="U66" s="1">
        <v>2660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59"/>
      <c r="H67" s="54"/>
      <c r="I67" s="54"/>
      <c r="J67" s="2"/>
      <c r="K67" s="2"/>
      <c r="L67" s="54"/>
      <c r="M67" s="117"/>
      <c r="N67" s="117"/>
      <c r="O67" s="117"/>
      <c r="P67" s="117"/>
      <c r="Q67" s="117"/>
      <c r="R67" s="117">
        <v>1700</v>
      </c>
      <c r="S67" s="1">
        <v>2720</v>
      </c>
      <c r="T67" s="1">
        <v>2460</v>
      </c>
      <c r="U67" s="1">
        <v>1760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54"/>
      <c r="H68" s="54"/>
      <c r="I68" s="54"/>
      <c r="J68" s="2"/>
      <c r="K68" s="2"/>
      <c r="L68" s="54"/>
      <c r="M68" s="117"/>
      <c r="N68" s="117"/>
      <c r="O68" s="117"/>
      <c r="P68" s="117"/>
      <c r="Q68" s="117"/>
      <c r="R68" s="117">
        <v>3180</v>
      </c>
      <c r="S68" s="1">
        <v>2240</v>
      </c>
      <c r="T68" s="1">
        <v>2120</v>
      </c>
      <c r="U68" s="1">
        <v>1780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54"/>
      <c r="H69" s="54"/>
      <c r="I69" s="54"/>
      <c r="J69" s="2"/>
      <c r="K69" s="2"/>
      <c r="L69" s="54"/>
      <c r="M69" s="117"/>
      <c r="N69" s="117"/>
      <c r="O69" s="117"/>
      <c r="P69" s="117"/>
      <c r="Q69" s="117"/>
      <c r="R69" s="1">
        <v>3380</v>
      </c>
      <c r="S69" s="117">
        <v>2820</v>
      </c>
      <c r="T69" s="1">
        <v>2420</v>
      </c>
      <c r="U69" s="1">
        <v>2300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54"/>
      <c r="H70" s="54"/>
      <c r="I70" s="54"/>
      <c r="J70" s="2"/>
      <c r="K70" s="2"/>
      <c r="L70" s="54"/>
      <c r="M70" s="117"/>
      <c r="N70" s="117"/>
      <c r="O70" s="117"/>
      <c r="P70" s="117"/>
      <c r="Q70" s="117"/>
      <c r="R70" s="1">
        <v>2260</v>
      </c>
      <c r="S70" s="1">
        <v>2740</v>
      </c>
      <c r="T70" s="1">
        <v>1660</v>
      </c>
      <c r="U70" s="1">
        <v>1860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61"/>
      <c r="H71" s="61"/>
      <c r="I71" s="61"/>
      <c r="J71" s="40"/>
      <c r="K71" s="40"/>
      <c r="L71" s="40"/>
      <c r="M71" s="95"/>
      <c r="N71" s="95"/>
      <c r="O71" s="95"/>
      <c r="P71" s="95"/>
      <c r="Q71" s="95"/>
      <c r="R71" s="1">
        <v>3280</v>
      </c>
      <c r="S71" s="1">
        <v>2200</v>
      </c>
      <c r="T71" s="1">
        <v>1680</v>
      </c>
      <c r="U71" s="1">
        <v>1680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54"/>
      <c r="I72" s="54"/>
      <c r="J72" s="41"/>
      <c r="K72" s="41"/>
      <c r="L72" s="41"/>
      <c r="M72" s="96"/>
      <c r="N72" s="96"/>
      <c r="O72" s="96"/>
      <c r="P72" s="96"/>
      <c r="Q72" s="96"/>
      <c r="R72" s="126">
        <f t="shared" ref="R72" si="6">SUM(R60:R71)</f>
        <v>28400</v>
      </c>
      <c r="S72" s="126">
        <f>SUM(S60:S71)</f>
        <v>37540</v>
      </c>
      <c r="T72" s="126">
        <f t="shared" ref="T72" si="7">SUM(T60:T71)</f>
        <v>26960</v>
      </c>
      <c r="U72" s="126">
        <f>SUM(U60:U71)</f>
        <v>24380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E524-1E85-4E83-A114-200249663299}">
  <dimension ref="A1:U63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18" width="9.28515625" bestFit="1" customWidth="1"/>
  </cols>
  <sheetData>
    <row r="1" spans="1:21" x14ac:dyDescent="0.2">
      <c r="A1" s="121"/>
    </row>
    <row r="2" spans="1:21" x14ac:dyDescent="0.2">
      <c r="A2" s="24" t="s">
        <v>432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0</v>
      </c>
      <c r="S5" s="1">
        <v>3935</v>
      </c>
      <c r="T5" s="1">
        <v>5428</v>
      </c>
      <c r="U5" s="1">
        <v>7207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2693</v>
      </c>
      <c r="S6" s="1">
        <v>3896</v>
      </c>
      <c r="T6" s="1">
        <v>6510</v>
      </c>
      <c r="U6" s="1">
        <v>7353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2860</v>
      </c>
      <c r="S7" s="1">
        <v>4067</v>
      </c>
      <c r="T7" s="1">
        <v>5855</v>
      </c>
      <c r="U7" s="1">
        <v>8137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3167</v>
      </c>
      <c r="S8" s="1">
        <v>4758</v>
      </c>
      <c r="T8" s="1">
        <v>7040</v>
      </c>
      <c r="U8" s="1">
        <v>7860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2888</v>
      </c>
      <c r="S9" s="1">
        <v>4507</v>
      </c>
      <c r="T9" s="1">
        <v>6401</v>
      </c>
      <c r="U9" s="1">
        <v>6813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2942</v>
      </c>
      <c r="S10" s="1">
        <v>4878</v>
      </c>
      <c r="T10" s="1">
        <v>6780</v>
      </c>
      <c r="U10" s="1">
        <v>8450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2275</v>
      </c>
      <c r="S11" s="1">
        <v>14487</v>
      </c>
      <c r="T11" s="1">
        <v>7389</v>
      </c>
      <c r="U11" s="1">
        <v>8976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5268</v>
      </c>
      <c r="S12" s="1">
        <v>5139</v>
      </c>
      <c r="T12" s="1">
        <v>7340</v>
      </c>
      <c r="U12" s="1">
        <v>8156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3559</v>
      </c>
      <c r="S13" s="1">
        <v>5357</v>
      </c>
      <c r="T13" s="1">
        <v>7717</v>
      </c>
      <c r="U13" s="1">
        <v>8518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4150</v>
      </c>
      <c r="S14" s="1">
        <v>15549</v>
      </c>
      <c r="T14" s="1">
        <v>7402</v>
      </c>
      <c r="U14" s="1">
        <v>7924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3745</v>
      </c>
      <c r="S15" s="1">
        <v>6179</v>
      </c>
      <c r="T15" s="1">
        <v>7780</v>
      </c>
      <c r="U15" s="1">
        <v>8496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3684</v>
      </c>
      <c r="S16" s="1">
        <v>4883</v>
      </c>
      <c r="T16" s="1">
        <v>7818</v>
      </c>
      <c r="U16" s="1">
        <v>7361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37231</v>
      </c>
      <c r="S17" s="126">
        <f>SUM(S5:S16)</f>
        <v>77635</v>
      </c>
      <c r="T17" s="126">
        <f t="shared" ref="T17" si="1">SUM(T5:T16)</f>
        <v>83460</v>
      </c>
      <c r="U17" s="126">
        <f>SUM(U5:U16)</f>
        <v>95251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433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17">
        <v>170</v>
      </c>
      <c r="T24" s="1">
        <v>137</v>
      </c>
      <c r="U24" s="1">
        <v>200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42</v>
      </c>
      <c r="S25" s="117">
        <v>150</v>
      </c>
      <c r="T25" s="1">
        <v>89</v>
      </c>
      <c r="U25" s="1">
        <v>296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7">
        <v>20</v>
      </c>
      <c r="S26" s="117">
        <v>20</v>
      </c>
      <c r="T26" s="1">
        <v>92</v>
      </c>
      <c r="U26" s="1">
        <v>203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35</v>
      </c>
      <c r="S27" s="117">
        <v>171</v>
      </c>
      <c r="T27" s="1">
        <v>103</v>
      </c>
      <c r="U27" s="1">
        <v>170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50</v>
      </c>
      <c r="S28" s="117">
        <v>44</v>
      </c>
      <c r="T28" s="1">
        <v>207</v>
      </c>
      <c r="U28" s="1">
        <v>171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15</v>
      </c>
      <c r="S29" s="117">
        <v>70</v>
      </c>
      <c r="T29" s="1">
        <v>70</v>
      </c>
      <c r="U29" s="1">
        <v>94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17">
        <v>18</v>
      </c>
      <c r="S30" s="117">
        <v>291</v>
      </c>
      <c r="T30" s="1">
        <v>177</v>
      </c>
      <c r="U30" s="1">
        <v>145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17">
        <v>38</v>
      </c>
      <c r="S31" s="117">
        <v>17</v>
      </c>
      <c r="T31" s="1">
        <v>61</v>
      </c>
      <c r="U31" s="1">
        <v>102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117">
        <v>184</v>
      </c>
      <c r="S32" s="117">
        <v>7</v>
      </c>
      <c r="T32" s="1">
        <v>172</v>
      </c>
      <c r="U32" s="1">
        <v>131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72</v>
      </c>
      <c r="S33" s="117">
        <v>349</v>
      </c>
      <c r="T33" s="1">
        <v>150</v>
      </c>
      <c r="U33" s="1">
        <v>115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17">
        <v>26</v>
      </c>
      <c r="S34" s="117">
        <v>47</v>
      </c>
      <c r="T34" s="1">
        <v>112</v>
      </c>
      <c r="U34" s="1">
        <v>166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95">
        <v>39</v>
      </c>
      <c r="S35" s="162">
        <v>29</v>
      </c>
      <c r="T35" s="1">
        <v>157</v>
      </c>
      <c r="U35" s="1">
        <v>160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539</v>
      </c>
      <c r="S36" s="126">
        <f>SUM(S24:S35)</f>
        <v>1365</v>
      </c>
      <c r="T36" s="126">
        <f t="shared" ref="T36" si="3">SUM(T24:T35)</f>
        <v>1527</v>
      </c>
      <c r="U36" s="126">
        <f>SUM(U24:U35)</f>
        <v>1953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434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-30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17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0</v>
      </c>
      <c r="S54" s="126">
        <f>SUM(S42:S53)</f>
        <v>0</v>
      </c>
      <c r="T54" s="126">
        <f t="shared" ref="T54" si="5">SUM(T42:T53)</f>
        <v>0</v>
      </c>
      <c r="U54" s="126">
        <f>SUM(U42:U53)</f>
        <v>-30</v>
      </c>
    </row>
    <row r="55" spans="1:21" x14ac:dyDescent="0.2">
      <c r="F55" s="2"/>
    </row>
    <row r="59" spans="1:21" x14ac:dyDescent="0.2">
      <c r="F59" s="2"/>
    </row>
    <row r="60" spans="1:21" x14ac:dyDescent="0.2">
      <c r="F60" s="2"/>
    </row>
    <row r="61" spans="1:21" x14ac:dyDescent="0.2">
      <c r="F61" s="2"/>
    </row>
    <row r="62" spans="1:21" x14ac:dyDescent="0.2">
      <c r="F62" s="2"/>
    </row>
    <row r="63" spans="1:21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5D72-5193-4C26-BFC6-F784098426F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0" width="9.28515625" bestFit="1" customWidth="1"/>
  </cols>
  <sheetData>
    <row r="1" spans="1:21" x14ac:dyDescent="0.2">
      <c r="A1" s="121" t="s">
        <v>418</v>
      </c>
    </row>
    <row r="2" spans="1:21" x14ac:dyDescent="0.2">
      <c r="A2" s="24" t="s">
        <v>84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107</v>
      </c>
      <c r="S5" s="1">
        <v>60704</v>
      </c>
      <c r="T5" s="1">
        <v>80686</v>
      </c>
      <c r="U5" s="1">
        <v>81345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35707</v>
      </c>
      <c r="S6" s="1">
        <v>52102</v>
      </c>
      <c r="T6" s="1">
        <v>57534</v>
      </c>
      <c r="U6" s="1">
        <v>65534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36995</v>
      </c>
      <c r="S7" s="1">
        <v>50965</v>
      </c>
      <c r="T7" s="1">
        <v>56603</v>
      </c>
      <c r="U7" s="1">
        <v>60719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>
        <v>43980</v>
      </c>
      <c r="S8" s="1">
        <v>63445</v>
      </c>
      <c r="T8" s="1">
        <v>73897</v>
      </c>
      <c r="U8" s="1">
        <v>70663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48853</v>
      </c>
      <c r="S9" s="1">
        <v>62866</v>
      </c>
      <c r="T9" s="1">
        <v>72623</v>
      </c>
      <c r="U9" s="1">
        <v>63184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61702</v>
      </c>
      <c r="S10" s="1">
        <v>69041</v>
      </c>
      <c r="T10" s="1">
        <v>82042</v>
      </c>
      <c r="U10" s="1">
        <v>85254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51797</v>
      </c>
      <c r="S11" s="1">
        <v>64997</v>
      </c>
      <c r="T11" s="1">
        <v>93692</v>
      </c>
      <c r="U11" s="1">
        <v>100082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75124</v>
      </c>
      <c r="S12" s="1">
        <v>87936</v>
      </c>
      <c r="T12" s="1">
        <v>89225</v>
      </c>
      <c r="U12" s="1">
        <v>82362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60508</v>
      </c>
      <c r="S13" s="1">
        <v>73534</v>
      </c>
      <c r="T13" s="1">
        <v>95945</v>
      </c>
      <c r="U13" s="1">
        <v>87311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69042</v>
      </c>
      <c r="S14" s="1">
        <v>83594</v>
      </c>
      <c r="T14" s="1">
        <v>96585</v>
      </c>
      <c r="U14" s="1">
        <v>93448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50507</v>
      </c>
      <c r="S15" s="1">
        <v>72574</v>
      </c>
      <c r="T15" s="1">
        <v>90098</v>
      </c>
      <c r="U15" s="1">
        <v>79045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55465</v>
      </c>
      <c r="S16" s="1">
        <v>68280</v>
      </c>
      <c r="T16" s="1">
        <v>84161</v>
      </c>
      <c r="U16" s="1">
        <v>77001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589787</v>
      </c>
      <c r="S17" s="126">
        <f>SUM(S5:S16)</f>
        <v>810038</v>
      </c>
      <c r="T17" s="126">
        <f t="shared" ref="T17" si="1">SUM(T5:T16)</f>
        <v>973091</v>
      </c>
      <c r="U17" s="126">
        <f>SUM(U5:U16)</f>
        <v>945948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2797</v>
      </c>
      <c r="T24" s="1">
        <v>10301</v>
      </c>
      <c r="U24" s="1">
        <v>6550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3162</v>
      </c>
      <c r="S25" s="1">
        <v>2906</v>
      </c>
      <c r="T25" s="1">
        <v>3484</v>
      </c>
      <c r="U25" s="1">
        <v>5590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3606</v>
      </c>
      <c r="S26" s="1">
        <v>1057</v>
      </c>
      <c r="T26" s="1">
        <v>5643</v>
      </c>
      <c r="U26" s="1">
        <v>2171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>
        <v>1684</v>
      </c>
      <c r="S27" s="1">
        <v>3083</v>
      </c>
      <c r="T27" s="1">
        <v>13814</v>
      </c>
      <c r="U27" s="1">
        <v>4918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1535</v>
      </c>
      <c r="S28" s="1">
        <v>2397</v>
      </c>
      <c r="T28" s="1">
        <v>4115</v>
      </c>
      <c r="U28" s="1">
        <v>1786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1546</v>
      </c>
      <c r="S29" s="1">
        <v>2035</v>
      </c>
      <c r="T29" s="1">
        <v>4808</v>
      </c>
      <c r="U29" s="1">
        <v>3117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3462</v>
      </c>
      <c r="S30" s="1">
        <v>4319</v>
      </c>
      <c r="T30" s="1">
        <v>8307</v>
      </c>
      <c r="U30" s="1">
        <v>6678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3160</v>
      </c>
      <c r="S31" s="1">
        <v>5301</v>
      </c>
      <c r="T31" s="1">
        <v>8125</v>
      </c>
      <c r="U31" s="1">
        <v>5323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4580</v>
      </c>
      <c r="S32" s="1">
        <v>5161</v>
      </c>
      <c r="T32" s="1">
        <v>6914</v>
      </c>
      <c r="U32" s="1">
        <v>9162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7203</v>
      </c>
      <c r="S33" s="1">
        <v>3847</v>
      </c>
      <c r="T33" s="1">
        <v>10582</v>
      </c>
      <c r="U33" s="1">
        <v>8041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10145</v>
      </c>
      <c r="S34" s="1">
        <v>3075</v>
      </c>
      <c r="T34" s="1">
        <v>8385</v>
      </c>
      <c r="U34" s="1">
        <v>8964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4787</v>
      </c>
      <c r="S35" s="1">
        <v>2913</v>
      </c>
      <c r="T35" s="1">
        <v>6420</v>
      </c>
      <c r="U35" s="1">
        <v>5899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44870</v>
      </c>
      <c r="S36" s="126">
        <f>SUM(S24:S35)</f>
        <v>38891</v>
      </c>
      <c r="T36" s="126">
        <f t="shared" ref="T36" si="3">SUM(T24:T35)</f>
        <v>90898</v>
      </c>
      <c r="U36" s="126">
        <f>SUM(U24:U35)</f>
        <v>68199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-228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-838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-81</v>
      </c>
      <c r="S51" s="117">
        <v>0</v>
      </c>
      <c r="T51" s="1">
        <v>-101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-106</v>
      </c>
      <c r="T52" s="1">
        <v>-4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>
        <v>0</v>
      </c>
      <c r="S53" s="182">
        <v>0</v>
      </c>
      <c r="T53" s="1">
        <v>-182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-81</v>
      </c>
      <c r="S54" s="126">
        <f>SUM(S42:S53)</f>
        <v>-944</v>
      </c>
      <c r="T54" s="126">
        <f t="shared" ref="T54" si="5">SUM(T42:T53)</f>
        <v>-515</v>
      </c>
      <c r="U54" s="126">
        <f>SUM(U42:U53)</f>
        <v>-1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3CAE-FB47-4E7F-8824-82802262AB3F}">
  <dimension ref="A1:U80"/>
  <sheetViews>
    <sheetView workbookViewId="0">
      <pane xSplit="1" topLeftCell="S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18" width="9.28515625" bestFit="1" customWidth="1"/>
    <col min="19" max="21" width="10.7109375" bestFit="1" customWidth="1"/>
  </cols>
  <sheetData>
    <row r="1" spans="1:21" x14ac:dyDescent="0.2">
      <c r="A1" s="121" t="s">
        <v>448</v>
      </c>
    </row>
    <row r="2" spans="1:21" x14ac:dyDescent="0.2">
      <c r="A2" s="24" t="s">
        <v>84</v>
      </c>
      <c r="B2" s="6">
        <v>5.0000000000000001E-3</v>
      </c>
      <c r="D2" s="94" t="s">
        <v>449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>
        <v>771</v>
      </c>
      <c r="T5" s="1">
        <v>137410</v>
      </c>
      <c r="U5" s="1">
        <v>141133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>
        <v>83499</v>
      </c>
      <c r="T6" s="1">
        <v>106390</v>
      </c>
      <c r="U6" s="1">
        <v>107136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>
        <v>79249</v>
      </c>
      <c r="T7" s="1">
        <v>109439</v>
      </c>
      <c r="U7" s="1">
        <v>113514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>
        <v>108220</v>
      </c>
      <c r="T8" s="1">
        <v>124197</v>
      </c>
      <c r="U8" s="1">
        <v>118651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>
        <v>108320</v>
      </c>
      <c r="T9" s="1">
        <v>111735</v>
      </c>
      <c r="U9" s="1">
        <v>127709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>
        <v>111199</v>
      </c>
      <c r="T10" s="1">
        <v>130828</v>
      </c>
      <c r="U10" s="1">
        <v>147472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>
        <v>128972</v>
      </c>
      <c r="T11" s="1">
        <v>149600</v>
      </c>
      <c r="U11" s="1">
        <v>155040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>
        <v>133468</v>
      </c>
      <c r="T12" s="1">
        <v>129796</v>
      </c>
      <c r="U12" s="1">
        <v>126491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>
        <v>112310</v>
      </c>
      <c r="T13" s="1">
        <v>154802</v>
      </c>
      <c r="U13" s="1">
        <v>144907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>
        <v>129388</v>
      </c>
      <c r="T14" s="1">
        <v>157500</v>
      </c>
      <c r="U14" s="1">
        <v>147156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>
        <v>121377</v>
      </c>
      <c r="T15" s="1">
        <v>129100</v>
      </c>
      <c r="U15" s="1">
        <v>131056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>
        <v>121080</v>
      </c>
      <c r="T16" s="1">
        <v>135927</v>
      </c>
      <c r="U16" s="1">
        <v>130991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>
        <f>SUM(S5:S16)</f>
        <v>1237853</v>
      </c>
      <c r="T17" s="126">
        <f t="shared" ref="T17" si="0">SUM(T5:T16)</f>
        <v>1576724</v>
      </c>
      <c r="U17" s="126">
        <f>SUM(U5:U16)</f>
        <v>1591256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449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>
        <v>0</v>
      </c>
      <c r="T24" s="1">
        <v>12740</v>
      </c>
      <c r="U24" s="1">
        <v>9278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>
        <v>35604</v>
      </c>
      <c r="T25" s="1">
        <v>8012</v>
      </c>
      <c r="U25" s="1">
        <v>34941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>
        <v>3932</v>
      </c>
      <c r="T26" s="1">
        <v>2670</v>
      </c>
      <c r="U26" s="1">
        <v>30387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>
        <v>7734</v>
      </c>
      <c r="T27" s="1">
        <v>6747</v>
      </c>
      <c r="U27" s="1">
        <v>12070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>
        <v>4606</v>
      </c>
      <c r="T28" s="1">
        <v>3376</v>
      </c>
      <c r="U28" s="1">
        <v>5404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>
        <v>5742</v>
      </c>
      <c r="T29" s="1">
        <v>8208</v>
      </c>
      <c r="U29" s="1">
        <v>5424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>
        <v>4932</v>
      </c>
      <c r="T30" s="1">
        <v>9080</v>
      </c>
      <c r="U30" s="1">
        <v>15526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>
        <v>6072</v>
      </c>
      <c r="T31" s="1">
        <v>6253</v>
      </c>
      <c r="U31" s="1">
        <v>6053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>
        <v>9602</v>
      </c>
      <c r="T32" s="1">
        <v>6050</v>
      </c>
      <c r="U32" s="1">
        <v>9156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>
        <v>7188</v>
      </c>
      <c r="T33" s="1">
        <v>5529</v>
      </c>
      <c r="U33" s="1">
        <v>11022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>
        <v>28616</v>
      </c>
      <c r="T34" s="1">
        <v>5769</v>
      </c>
      <c r="U34" s="1">
        <v>7670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>
        <v>10164</v>
      </c>
      <c r="T35" s="1">
        <v>35140</v>
      </c>
      <c r="U35" s="1">
        <v>5660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>
        <f>SUM(S24:S35)</f>
        <v>124192</v>
      </c>
      <c r="T36" s="126">
        <f t="shared" ref="T36" si="1">SUM(T24:T35)</f>
        <v>109574</v>
      </c>
      <c r="U36" s="126">
        <f>SUM(U24:U35)</f>
        <v>152591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>
        <v>0</v>
      </c>
      <c r="T42" s="1">
        <v>-38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>
        <v>0</v>
      </c>
      <c r="T46" s="1">
        <v>0</v>
      </c>
      <c r="U46" s="1">
        <v>-10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>
        <v>0</v>
      </c>
      <c r="T53" s="1">
        <v>0</v>
      </c>
      <c r="U53" s="1">
        <v>-1835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>
        <f>SUM(S42:S53)</f>
        <v>0</v>
      </c>
      <c r="T54" s="126">
        <f t="shared" ref="T54" si="2">SUM(T42:T53)</f>
        <v>-38</v>
      </c>
      <c r="U54" s="126">
        <f>SUM(U42:U53)</f>
        <v>-1845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66C4-C883-4785-982C-5F751C508BA3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0" width="9.28515625" bestFit="1" customWidth="1"/>
  </cols>
  <sheetData>
    <row r="1" spans="1:21" x14ac:dyDescent="0.2">
      <c r="A1" s="121" t="s">
        <v>451</v>
      </c>
    </row>
    <row r="2" spans="1:21" x14ac:dyDescent="0.2">
      <c r="A2" s="24" t="s">
        <v>39</v>
      </c>
      <c r="B2" s="6">
        <v>0.03</v>
      </c>
      <c r="D2" s="94" t="s">
        <v>449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>
        <v>0</v>
      </c>
      <c r="T5" s="1">
        <v>40550</v>
      </c>
      <c r="U5" s="1">
        <v>36691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>
        <v>87169</v>
      </c>
      <c r="T6" s="1">
        <v>102639</v>
      </c>
      <c r="U6" s="1">
        <v>130963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>
        <v>72469</v>
      </c>
      <c r="T7" s="1">
        <v>77551</v>
      </c>
      <c r="U7" s="1">
        <v>65658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>
        <v>41073</v>
      </c>
      <c r="T8" s="1">
        <v>48718</v>
      </c>
      <c r="U8" s="1">
        <v>38042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>
        <v>15126</v>
      </c>
      <c r="T9" s="1">
        <v>10622</v>
      </c>
      <c r="U9" s="1">
        <v>10304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>
        <v>32496</v>
      </c>
      <c r="T10" s="1">
        <v>29848</v>
      </c>
      <c r="U10" s="1">
        <v>28607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>
        <v>64844</v>
      </c>
      <c r="T11" s="1">
        <v>60303</v>
      </c>
      <c r="U11" s="1">
        <v>62472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>
        <v>53805</v>
      </c>
      <c r="T12" s="1">
        <v>40425</v>
      </c>
      <c r="U12" s="1">
        <v>50724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>
        <v>54298</v>
      </c>
      <c r="T13" s="1">
        <v>46666</v>
      </c>
      <c r="U13" s="1">
        <v>45529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>
        <v>44195</v>
      </c>
      <c r="T14" s="1">
        <v>40480</v>
      </c>
      <c r="U14" s="1">
        <v>38683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>
        <v>32279</v>
      </c>
      <c r="T15" s="1">
        <v>30600</v>
      </c>
      <c r="U15" s="1">
        <v>28008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>
        <v>5063</v>
      </c>
      <c r="T16" s="1">
        <v>4296</v>
      </c>
      <c r="U16" s="1">
        <v>2825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>
        <f>SUM(S5:S16)</f>
        <v>502817</v>
      </c>
      <c r="T17" s="126">
        <f t="shared" ref="T17" si="0">SUM(T5:T16)</f>
        <v>532698</v>
      </c>
      <c r="U17" s="126">
        <f>SUM(U5:U16)</f>
        <v>538506</v>
      </c>
    </row>
    <row r="18" spans="1:21" x14ac:dyDescent="0.2">
      <c r="A18" s="25"/>
      <c r="B18" s="4"/>
      <c r="F18" s="2"/>
      <c r="H18" s="2"/>
      <c r="L18" s="94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330C-7C67-452C-B3B0-A874996A6504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8" width="5" bestFit="1" customWidth="1"/>
    <col min="19" max="19" width="9.28515625" bestFit="1" customWidth="1"/>
    <col min="20" max="21" width="10.7109375" bestFit="1" customWidth="1"/>
  </cols>
  <sheetData>
    <row r="1" spans="1:21" x14ac:dyDescent="0.2">
      <c r="A1" s="121" t="s">
        <v>454</v>
      </c>
    </row>
    <row r="2" spans="1:21" x14ac:dyDescent="0.2">
      <c r="A2" s="24" t="s">
        <v>84</v>
      </c>
      <c r="B2" s="6">
        <v>5.0000000000000001E-3</v>
      </c>
      <c r="D2" s="94" t="s">
        <v>455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>
        <v>124535</v>
      </c>
      <c r="U5" s="1">
        <v>134084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>
        <v>119836</v>
      </c>
      <c r="U6" s="1">
        <v>110777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>
        <v>103013</v>
      </c>
      <c r="U7" s="1">
        <v>103478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>
        <v>3</v>
      </c>
      <c r="T8" s="1">
        <v>121993</v>
      </c>
      <c r="U8" s="1">
        <v>125458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>
        <v>97370</v>
      </c>
      <c r="T9" s="1">
        <v>111312</v>
      </c>
      <c r="U9" s="1">
        <v>116730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>
        <v>104568</v>
      </c>
      <c r="T10" s="1">
        <v>136705</v>
      </c>
      <c r="U10" s="1">
        <v>148074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>
        <v>122670</v>
      </c>
      <c r="T11" s="1">
        <v>146028</v>
      </c>
      <c r="U11" s="1">
        <v>164288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>
        <v>126780</v>
      </c>
      <c r="T12" s="1">
        <v>148922</v>
      </c>
      <c r="U12" s="1">
        <v>147336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>
        <v>125010</v>
      </c>
      <c r="T13" s="1">
        <v>152711</v>
      </c>
      <c r="U13" s="1">
        <v>152323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>
        <v>132190</v>
      </c>
      <c r="T14" s="1">
        <v>148778</v>
      </c>
      <c r="U14" s="1">
        <v>148329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>
        <v>120880</v>
      </c>
      <c r="T15" s="1">
        <v>136975</v>
      </c>
      <c r="U15" s="1">
        <v>134840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>
        <v>117675</v>
      </c>
      <c r="T16" s="1">
        <v>126496</v>
      </c>
      <c r="U16" s="1">
        <v>139157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>
        <f>SUM(S5:S16)</f>
        <v>947146</v>
      </c>
      <c r="T17" s="126">
        <f t="shared" ref="T17" si="0">SUM(T5:T16)</f>
        <v>1577304</v>
      </c>
      <c r="U17" s="126">
        <f>SUM(U5:U16)</f>
        <v>1624874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455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>
        <v>7570</v>
      </c>
      <c r="U24" s="1">
        <v>5675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>
        <v>3930</v>
      </c>
      <c r="U25" s="1">
        <v>5224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>
        <v>9726</v>
      </c>
      <c r="U26" s="1">
        <v>3834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>
        <v>0</v>
      </c>
      <c r="T27" s="1">
        <v>3704</v>
      </c>
      <c r="U27" s="1">
        <v>5863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>
        <v>3903</v>
      </c>
      <c r="T28" s="1">
        <v>7058</v>
      </c>
      <c r="U28" s="1">
        <v>4340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>
        <v>9642</v>
      </c>
      <c r="T29" s="1">
        <v>8805</v>
      </c>
      <c r="U29" s="1">
        <v>6267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>
        <v>7483</v>
      </c>
      <c r="T30" s="1">
        <v>9290</v>
      </c>
      <c r="U30" s="1">
        <v>8112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>
        <v>10288</v>
      </c>
      <c r="T31" s="1">
        <v>7991</v>
      </c>
      <c r="U31" s="1">
        <v>7397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>
        <v>7253</v>
      </c>
      <c r="T32" s="1">
        <v>11803</v>
      </c>
      <c r="U32" s="1">
        <v>12503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>
        <v>8640</v>
      </c>
      <c r="T33" s="1">
        <v>12206</v>
      </c>
      <c r="U33" s="1">
        <v>12736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>
        <v>6920</v>
      </c>
      <c r="T34" s="1">
        <v>9854</v>
      </c>
      <c r="U34" s="1">
        <v>8443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>
        <v>5799</v>
      </c>
      <c r="T35" s="1">
        <v>9244</v>
      </c>
      <c r="U35" s="1">
        <v>7376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>
        <f>SUM(S24:S35)</f>
        <v>59928</v>
      </c>
      <c r="T36" s="126">
        <f t="shared" ref="T36" si="1">SUM(T24:T35)</f>
        <v>101181</v>
      </c>
      <c r="U36" s="126">
        <f>SUM(U24:U35)</f>
        <v>87770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>
        <v>0</v>
      </c>
      <c r="T46" s="1">
        <v>0</v>
      </c>
      <c r="U46" s="1">
        <v>-45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>
        <v>0</v>
      </c>
      <c r="T49" s="1">
        <v>-1957</v>
      </c>
      <c r="U49" s="1">
        <v>-208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>
        <v>0</v>
      </c>
      <c r="T50" s="1">
        <v>-7942</v>
      </c>
      <c r="U50" s="1">
        <v>-2553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>
        <v>0</v>
      </c>
      <c r="T51" s="1">
        <v>0</v>
      </c>
      <c r="U51" s="1">
        <v>-6292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>
        <v>0</v>
      </c>
      <c r="T53" s="1">
        <v>0</v>
      </c>
      <c r="U53" s="1">
        <v>-2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>
        <f>SUM(S42:S53)</f>
        <v>0</v>
      </c>
      <c r="T54" s="126">
        <f t="shared" ref="T54" si="2">SUM(T42:T53)</f>
        <v>-9899</v>
      </c>
      <c r="U54" s="126">
        <f>SUM(U42:U53)</f>
        <v>-9100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D80B-A662-470E-B5B0-506F6DA2D524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1" width="10.7109375" bestFit="1" customWidth="1"/>
  </cols>
  <sheetData>
    <row r="1" spans="1:21" x14ac:dyDescent="0.2">
      <c r="A1" s="121" t="s">
        <v>460</v>
      </c>
    </row>
    <row r="2" spans="1:21" x14ac:dyDescent="0.2">
      <c r="A2" s="24" t="s">
        <v>84</v>
      </c>
      <c r="B2" s="6">
        <v>5.0000000000000001E-3</v>
      </c>
      <c r="D2" s="94" t="s">
        <v>461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>
        <v>2</v>
      </c>
      <c r="U5" s="1">
        <v>111735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>
        <v>73756</v>
      </c>
      <c r="U6" s="1">
        <v>85005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>
        <v>70734</v>
      </c>
      <c r="U7" s="1">
        <v>76580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>
        <v>80289</v>
      </c>
      <c r="U8" s="1">
        <v>86350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>
        <v>87278</v>
      </c>
      <c r="U9" s="1">
        <v>88352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>
        <v>94121</v>
      </c>
      <c r="U10" s="1">
        <v>109042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>
        <v>100815</v>
      </c>
      <c r="U11" s="1">
        <v>119979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>
        <v>95728</v>
      </c>
      <c r="U12" s="1">
        <v>115523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>
        <v>105438</v>
      </c>
      <c r="U13" s="1">
        <v>121374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>
        <v>114907</v>
      </c>
      <c r="U14" s="1">
        <v>126452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>
        <v>95931</v>
      </c>
      <c r="U15" s="1">
        <v>115454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>
        <v>105269</v>
      </c>
      <c r="U16" s="1">
        <v>97573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1024268</v>
      </c>
      <c r="U17" s="126">
        <f>SUM(U5:U16)</f>
        <v>1253419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461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>
        <v>0</v>
      </c>
      <c r="U24" s="1">
        <v>2476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>
        <v>2572</v>
      </c>
      <c r="U25" s="1">
        <v>4490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>
        <v>872</v>
      </c>
      <c r="U26" s="1">
        <v>1868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>
        <v>3523</v>
      </c>
      <c r="U27" s="1">
        <v>4342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>
        <v>1984</v>
      </c>
      <c r="U28" s="1">
        <v>3601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>
        <v>4731</v>
      </c>
      <c r="U29" s="1">
        <v>7740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>
        <v>5191</v>
      </c>
      <c r="U30" s="1">
        <v>5662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>
        <v>2753</v>
      </c>
      <c r="U31" s="1">
        <v>4161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>
        <v>2469</v>
      </c>
      <c r="U32" s="1">
        <v>2307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>
        <v>3421</v>
      </c>
      <c r="U33" s="1">
        <v>4213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>
        <v>3223</v>
      </c>
      <c r="U34" s="1">
        <v>2715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>
        <v>2783</v>
      </c>
      <c r="U35" s="1">
        <v>1912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33522</v>
      </c>
      <c r="U36" s="126">
        <f>SUM(U24:U35)</f>
        <v>45487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>
        <v>0</v>
      </c>
      <c r="U44" s="1">
        <v>-272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>
        <v>0</v>
      </c>
      <c r="U45" s="1">
        <v>-804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>
        <v>0</v>
      </c>
      <c r="U46" s="1">
        <v>-232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>
        <v>-245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-245</v>
      </c>
      <c r="U54" s="126">
        <f>SUM(U42:U53)</f>
        <v>-1308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94DF-419C-4B02-BBC4-2D22D886A148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0" width="9.28515625" bestFit="1" customWidth="1"/>
  </cols>
  <sheetData>
    <row r="1" spans="1:21" x14ac:dyDescent="0.2">
      <c r="A1" s="121" t="s">
        <v>463</v>
      </c>
    </row>
    <row r="2" spans="1:21" x14ac:dyDescent="0.2">
      <c r="A2" s="24" t="s">
        <v>84</v>
      </c>
      <c r="B2" s="6">
        <v>5.0000000000000001E-3</v>
      </c>
      <c r="D2" s="94" t="s">
        <v>464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>
        <v>72247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>
        <v>58428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>
        <v>55658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>
        <v>110</v>
      </c>
      <c r="U8" s="1">
        <v>63627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>
        <v>52651</v>
      </c>
      <c r="U9" s="1">
        <v>60668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>
        <v>65219</v>
      </c>
      <c r="U10" s="1">
        <v>82966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>
        <v>75337</v>
      </c>
      <c r="U11" s="1">
        <v>99883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>
        <v>77002</v>
      </c>
      <c r="U12" s="1">
        <v>88802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>
        <v>95263</v>
      </c>
      <c r="U13" s="1">
        <v>97384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>
        <v>78876</v>
      </c>
      <c r="U14" s="1">
        <v>86615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>
        <v>66654</v>
      </c>
      <c r="U15" s="1">
        <v>60629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>
        <v>64224</v>
      </c>
      <c r="U16" s="1">
        <v>64095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575336</v>
      </c>
      <c r="U17" s="126">
        <f>SUM(U5:U16)</f>
        <v>891002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464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>
        <v>8323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>
        <v>3446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>
        <v>4285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>
        <v>6</v>
      </c>
      <c r="U27" s="1">
        <v>7567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>
        <v>9393</v>
      </c>
      <c r="U28" s="1">
        <v>4352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>
        <v>13749</v>
      </c>
      <c r="U29" s="1">
        <v>6208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>
        <v>7627</v>
      </c>
      <c r="U30" s="1">
        <v>5679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>
        <v>8938</v>
      </c>
      <c r="U31" s="1">
        <v>3932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>
        <v>9173</v>
      </c>
      <c r="U32" s="1">
        <v>4787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>
        <v>6788</v>
      </c>
      <c r="U33" s="1">
        <v>4968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>
        <v>5547</v>
      </c>
      <c r="U34" s="1">
        <v>4833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>
        <v>6988</v>
      </c>
      <c r="U35" s="1">
        <v>4564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68209</v>
      </c>
      <c r="U36" s="126">
        <f>SUM(U24:U35)</f>
        <v>62944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>
        <v>0</v>
      </c>
      <c r="U52" s="1">
        <v>-40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-40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AD99-E56E-44AA-8097-190F3EF8635D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0" width="9.28515625" bestFit="1" customWidth="1"/>
  </cols>
  <sheetData>
    <row r="1" spans="1:21" x14ac:dyDescent="0.2">
      <c r="A1" s="121"/>
    </row>
    <row r="2" spans="1:21" x14ac:dyDescent="0.2">
      <c r="A2" s="24" t="s">
        <v>469</v>
      </c>
      <c r="B2" s="6">
        <v>5.0000000000000001E-3</v>
      </c>
      <c r="D2" s="94" t="s">
        <v>466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>
        <v>57196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>
        <v>43025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>
        <v>46975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49202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47293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58034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>
        <v>12</v>
      </c>
      <c r="U11" s="1">
        <v>59160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>
        <v>43284</v>
      </c>
      <c r="U12" s="1">
        <v>53576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>
        <v>46970</v>
      </c>
      <c r="U13" s="1">
        <v>47691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>
        <v>51989</v>
      </c>
      <c r="U14" s="1">
        <v>55460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>
        <v>54025</v>
      </c>
      <c r="U15" s="1">
        <v>48003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>
        <v>53801</v>
      </c>
      <c r="U16" s="1">
        <v>51089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250081</v>
      </c>
      <c r="U17" s="126">
        <f>SUM(U5:U16)</f>
        <v>616704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470</v>
      </c>
      <c r="B21" s="6">
        <v>5.0000000000000001E-3</v>
      </c>
      <c r="D21" s="94" t="s">
        <v>466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>
        <v>2349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>
        <v>972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>
        <v>2067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2625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2539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2595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>
        <v>12</v>
      </c>
      <c r="U30" s="1">
        <v>3338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>
        <v>1259</v>
      </c>
      <c r="U31" s="1">
        <v>1155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>
        <v>3278</v>
      </c>
      <c r="U32" s="1">
        <v>3136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>
        <v>3201</v>
      </c>
      <c r="U33" s="1">
        <v>1673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>
        <v>2406</v>
      </c>
      <c r="U34" s="1">
        <v>1808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>
        <v>2436</v>
      </c>
      <c r="U35" s="1">
        <v>1874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12592</v>
      </c>
      <c r="U36" s="126">
        <f>SUM(U24:U35)</f>
        <v>26131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471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-1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>
        <v>0</v>
      </c>
      <c r="U49" s="1">
        <v>-11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-12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U71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2" width="9.140625" bestFit="1" customWidth="1"/>
    <col min="3" max="3" width="8.140625" bestFit="1" customWidth="1"/>
    <col min="4" max="8" width="9.140625" bestFit="1" customWidth="1"/>
    <col min="9" max="10" width="8.5703125" bestFit="1" customWidth="1"/>
    <col min="11" max="11" width="8.85546875" bestFit="1" customWidth="1"/>
    <col min="12" max="12" width="9.140625" bestFit="1" customWidth="1"/>
    <col min="13" max="18" width="9.28515625" bestFit="1" customWidth="1"/>
    <col min="19" max="19" width="9.28515625" customWidth="1"/>
    <col min="20" max="20" width="9.28515625" bestFit="1" customWidth="1"/>
  </cols>
  <sheetData>
    <row r="2" spans="1:21" x14ac:dyDescent="0.2">
      <c r="A2" s="24" t="s">
        <v>18</v>
      </c>
      <c r="B2" s="148">
        <v>0.01</v>
      </c>
      <c r="C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8506.85</v>
      </c>
      <c r="C5" s="1">
        <v>9701</v>
      </c>
      <c r="D5" s="2">
        <v>8915.98</v>
      </c>
      <c r="E5" s="2">
        <v>10406</v>
      </c>
      <c r="F5" s="2">
        <v>9119</v>
      </c>
      <c r="G5" s="2">
        <v>9804</v>
      </c>
      <c r="H5" s="2">
        <v>10655</v>
      </c>
      <c r="I5" s="2">
        <v>9269</v>
      </c>
      <c r="J5" s="2">
        <v>9969</v>
      </c>
      <c r="K5" s="2">
        <v>12546</v>
      </c>
      <c r="L5" s="102">
        <v>10584</v>
      </c>
      <c r="M5" s="117">
        <v>11490</v>
      </c>
      <c r="N5" s="117">
        <v>11067</v>
      </c>
      <c r="O5" s="117">
        <v>14049</v>
      </c>
      <c r="P5" s="117">
        <v>31922</v>
      </c>
      <c r="Q5" s="117">
        <v>27405</v>
      </c>
      <c r="R5" s="1">
        <v>27372</v>
      </c>
      <c r="S5" s="1">
        <v>26054</v>
      </c>
      <c r="T5" s="1">
        <v>28615</v>
      </c>
      <c r="U5" s="1">
        <v>30607</v>
      </c>
    </row>
    <row r="6" spans="1:21" x14ac:dyDescent="0.2">
      <c r="A6" s="26" t="s">
        <v>1</v>
      </c>
      <c r="B6" s="1">
        <v>7178.96</v>
      </c>
      <c r="C6" s="1">
        <v>8454</v>
      </c>
      <c r="D6" s="2">
        <v>7920</v>
      </c>
      <c r="E6" s="2">
        <f>8315+6</f>
        <v>8321</v>
      </c>
      <c r="F6" s="2">
        <v>9051</v>
      </c>
      <c r="G6" s="2">
        <v>14562</v>
      </c>
      <c r="H6" s="2">
        <v>7882</v>
      </c>
      <c r="I6" s="2">
        <v>8218</v>
      </c>
      <c r="J6" s="2">
        <v>2454</v>
      </c>
      <c r="K6" s="2">
        <v>9225</v>
      </c>
      <c r="L6" s="102">
        <v>9229</v>
      </c>
      <c r="M6" s="117">
        <v>10343</v>
      </c>
      <c r="N6" s="117">
        <v>11021</v>
      </c>
      <c r="O6" s="117">
        <v>10537</v>
      </c>
      <c r="P6" s="117">
        <v>22517</v>
      </c>
      <c r="Q6" s="117">
        <v>22508</v>
      </c>
      <c r="R6" s="1">
        <v>24926</v>
      </c>
      <c r="S6" s="1">
        <v>23703</v>
      </c>
      <c r="T6" s="1">
        <v>24405</v>
      </c>
      <c r="U6" s="1">
        <v>26714</v>
      </c>
    </row>
    <row r="7" spans="1:21" x14ac:dyDescent="0.2">
      <c r="A7" s="26" t="s">
        <v>2</v>
      </c>
      <c r="B7" s="1">
        <v>6889.97</v>
      </c>
      <c r="C7" s="1">
        <v>7537.15</v>
      </c>
      <c r="D7" s="2">
        <v>7673</v>
      </c>
      <c r="E7" s="2">
        <v>7490</v>
      </c>
      <c r="F7" s="2">
        <v>6825</v>
      </c>
      <c r="G7" s="2">
        <v>8677</v>
      </c>
      <c r="H7" s="2">
        <v>7325</v>
      </c>
      <c r="I7" s="2">
        <v>8384</v>
      </c>
      <c r="J7" s="2">
        <v>7170</v>
      </c>
      <c r="K7" s="2">
        <v>9306</v>
      </c>
      <c r="L7" s="106">
        <v>8325</v>
      </c>
      <c r="M7" s="117">
        <v>10654</v>
      </c>
      <c r="N7" s="117">
        <v>10849</v>
      </c>
      <c r="O7" s="117">
        <v>11208</v>
      </c>
      <c r="P7" s="117">
        <v>19884</v>
      </c>
      <c r="Q7" s="117">
        <v>21791</v>
      </c>
      <c r="R7" s="1">
        <v>22699</v>
      </c>
      <c r="S7" s="1">
        <v>23009</v>
      </c>
      <c r="T7" s="1">
        <v>24536</v>
      </c>
      <c r="U7" s="1">
        <v>24785</v>
      </c>
    </row>
    <row r="8" spans="1:21" x14ac:dyDescent="0.2">
      <c r="A8" s="26" t="s">
        <v>3</v>
      </c>
      <c r="B8" s="1">
        <v>8950</v>
      </c>
      <c r="C8" s="1">
        <v>8093</v>
      </c>
      <c r="D8" s="2">
        <v>7796</v>
      </c>
      <c r="E8" s="2">
        <v>8457.2900000000009</v>
      </c>
      <c r="F8" s="2">
        <v>8208</v>
      </c>
      <c r="G8" s="2">
        <v>8417</v>
      </c>
      <c r="H8" s="2">
        <v>8445</v>
      </c>
      <c r="I8" s="2">
        <v>8880</v>
      </c>
      <c r="J8" s="2">
        <v>8568</v>
      </c>
      <c r="K8" s="2">
        <v>10072</v>
      </c>
      <c r="L8" s="106">
        <v>9561</v>
      </c>
      <c r="M8" s="117">
        <v>12041</v>
      </c>
      <c r="N8" s="117">
        <v>11801</v>
      </c>
      <c r="O8" s="117">
        <v>12687</v>
      </c>
      <c r="P8" s="117">
        <v>22083</v>
      </c>
      <c r="Q8" s="117">
        <v>23687</v>
      </c>
      <c r="R8" s="1">
        <v>27327</v>
      </c>
      <c r="S8" s="1">
        <v>29225</v>
      </c>
      <c r="T8" s="1">
        <v>28264</v>
      </c>
      <c r="U8" s="1">
        <v>47761</v>
      </c>
    </row>
    <row r="9" spans="1:21" x14ac:dyDescent="0.2">
      <c r="A9" s="26" t="s">
        <v>4</v>
      </c>
      <c r="B9" s="1">
        <v>7562</v>
      </c>
      <c r="C9" s="1">
        <v>7595</v>
      </c>
      <c r="D9" s="2">
        <v>7350</v>
      </c>
      <c r="E9" s="2">
        <v>7336.17</v>
      </c>
      <c r="F9" s="2">
        <v>8213</v>
      </c>
      <c r="G9" s="2">
        <v>8660</v>
      </c>
      <c r="H9" s="2">
        <v>8779</v>
      </c>
      <c r="I9" s="2">
        <v>8217</v>
      </c>
      <c r="J9" s="2">
        <v>7306</v>
      </c>
      <c r="K9" s="2">
        <v>9395</v>
      </c>
      <c r="L9" s="106">
        <v>8568</v>
      </c>
      <c r="M9" s="117">
        <v>10523</v>
      </c>
      <c r="N9" s="117">
        <v>10510</v>
      </c>
      <c r="O9" s="117">
        <v>13905</v>
      </c>
      <c r="P9" s="117">
        <v>21282</v>
      </c>
      <c r="Q9" s="117">
        <v>22493</v>
      </c>
      <c r="R9" s="117">
        <v>19644</v>
      </c>
      <c r="S9" s="1">
        <v>28418</v>
      </c>
      <c r="T9" s="1">
        <v>26917</v>
      </c>
      <c r="U9" s="1">
        <v>27432</v>
      </c>
    </row>
    <row r="10" spans="1:21" x14ac:dyDescent="0.2">
      <c r="A10" s="26" t="s">
        <v>5</v>
      </c>
      <c r="B10" s="1">
        <v>8219</v>
      </c>
      <c r="C10" s="1">
        <v>8539</v>
      </c>
      <c r="D10" s="2">
        <v>8150</v>
      </c>
      <c r="E10" s="2">
        <v>9579</v>
      </c>
      <c r="F10" s="2">
        <v>10564.34</v>
      </c>
      <c r="G10" s="2">
        <v>9790</v>
      </c>
      <c r="H10" s="2">
        <v>9927</v>
      </c>
      <c r="I10" s="2">
        <v>9905</v>
      </c>
      <c r="J10" s="2">
        <v>11146</v>
      </c>
      <c r="K10" s="2">
        <v>35562</v>
      </c>
      <c r="L10" s="106">
        <v>10344</v>
      </c>
      <c r="M10" s="117">
        <v>14789</v>
      </c>
      <c r="N10" s="117">
        <v>12360</v>
      </c>
      <c r="O10" s="117">
        <v>18547</v>
      </c>
      <c r="P10" s="117">
        <v>26481</v>
      </c>
      <c r="Q10" s="117">
        <v>31394</v>
      </c>
      <c r="R10" s="1">
        <v>23481</v>
      </c>
      <c r="S10" s="1">
        <v>30483</v>
      </c>
      <c r="T10" s="1">
        <v>29888</v>
      </c>
      <c r="U10" s="1">
        <v>32872</v>
      </c>
    </row>
    <row r="11" spans="1:21" x14ac:dyDescent="0.2">
      <c r="A11" s="26" t="s">
        <v>6</v>
      </c>
      <c r="B11" s="1">
        <v>9650.7199999999993</v>
      </c>
      <c r="C11" s="1">
        <v>8774</v>
      </c>
      <c r="D11" s="2">
        <v>9334</v>
      </c>
      <c r="E11" s="2">
        <v>8751</v>
      </c>
      <c r="F11" s="2">
        <v>7248</v>
      </c>
      <c r="G11" s="2">
        <v>11498</v>
      </c>
      <c r="H11" s="2">
        <v>17369</v>
      </c>
      <c r="I11" s="2">
        <v>10689</v>
      </c>
      <c r="J11" s="2">
        <v>10190</v>
      </c>
      <c r="K11" s="2">
        <v>10739</v>
      </c>
      <c r="L11" s="106">
        <v>11751</v>
      </c>
      <c r="M11" s="117">
        <v>16267</v>
      </c>
      <c r="N11" s="117">
        <v>12788</v>
      </c>
      <c r="O11" s="117">
        <v>17366</v>
      </c>
      <c r="P11" s="117">
        <v>29382</v>
      </c>
      <c r="Q11" s="117">
        <v>34161</v>
      </c>
      <c r="R11" s="1">
        <v>30321</v>
      </c>
      <c r="S11" s="1">
        <v>32482</v>
      </c>
      <c r="T11" s="1">
        <v>37783</v>
      </c>
      <c r="U11" s="1">
        <v>46072</v>
      </c>
    </row>
    <row r="12" spans="1:21" x14ac:dyDescent="0.2">
      <c r="A12" s="26" t="s">
        <v>7</v>
      </c>
      <c r="B12" s="1">
        <v>12187.85</v>
      </c>
      <c r="C12" s="1">
        <v>11833.38</v>
      </c>
      <c r="D12" s="2">
        <v>12534</v>
      </c>
      <c r="E12" s="2">
        <v>10920.41</v>
      </c>
      <c r="F12" s="2">
        <v>13871.23</v>
      </c>
      <c r="G12" s="2">
        <v>11724</v>
      </c>
      <c r="H12" s="2">
        <v>14196</v>
      </c>
      <c r="I12" s="2">
        <v>12521</v>
      </c>
      <c r="J12" s="2">
        <v>14830</v>
      </c>
      <c r="K12" s="2">
        <v>20983</v>
      </c>
      <c r="L12" s="106">
        <v>13132</v>
      </c>
      <c r="M12" s="117">
        <v>16700</v>
      </c>
      <c r="N12" s="117">
        <v>19325</v>
      </c>
      <c r="O12" s="117">
        <v>16227</v>
      </c>
      <c r="P12" s="117">
        <v>29403</v>
      </c>
      <c r="Q12" s="117">
        <v>32841</v>
      </c>
      <c r="R12" s="1">
        <v>29952</v>
      </c>
      <c r="S12" s="1">
        <v>30703</v>
      </c>
      <c r="T12" s="1">
        <v>38210</v>
      </c>
      <c r="U12" s="1">
        <v>36009</v>
      </c>
    </row>
    <row r="13" spans="1:21" x14ac:dyDescent="0.2">
      <c r="A13" s="26" t="s">
        <v>8</v>
      </c>
      <c r="B13" s="1">
        <v>10884.92</v>
      </c>
      <c r="C13" s="1">
        <v>11857</v>
      </c>
      <c r="D13" s="2">
        <v>13016</v>
      </c>
      <c r="E13" s="2">
        <v>12388.07</v>
      </c>
      <c r="F13" s="2">
        <v>12926.44</v>
      </c>
      <c r="G13" s="2">
        <v>11438</v>
      </c>
      <c r="H13" s="2">
        <v>13801</v>
      </c>
      <c r="I13" s="2">
        <v>13122</v>
      </c>
      <c r="J13" s="2">
        <v>13822</v>
      </c>
      <c r="K13" s="2">
        <v>16586</v>
      </c>
      <c r="L13" s="106">
        <v>14125</v>
      </c>
      <c r="M13" s="117">
        <v>18706</v>
      </c>
      <c r="N13" s="117">
        <v>16973</v>
      </c>
      <c r="O13" s="117">
        <v>15054</v>
      </c>
      <c r="P13" s="117">
        <v>41760</v>
      </c>
      <c r="Q13" s="117">
        <v>36463</v>
      </c>
      <c r="R13" s="2">
        <v>33052</v>
      </c>
      <c r="S13" s="1">
        <v>34429</v>
      </c>
      <c r="T13" s="1">
        <v>35962</v>
      </c>
      <c r="U13" s="1">
        <v>41476</v>
      </c>
    </row>
    <row r="14" spans="1:21" x14ac:dyDescent="0.2">
      <c r="A14" s="26" t="s">
        <v>9</v>
      </c>
      <c r="B14" s="1">
        <v>10755.66</v>
      </c>
      <c r="C14" s="1">
        <v>10458</v>
      </c>
      <c r="D14" s="2">
        <v>12000</v>
      </c>
      <c r="E14" s="2">
        <v>10305</v>
      </c>
      <c r="F14" s="2">
        <v>10463.4</v>
      </c>
      <c r="G14" s="2">
        <v>11093</v>
      </c>
      <c r="H14" s="2">
        <v>11849</v>
      </c>
      <c r="I14" s="2">
        <v>12223</v>
      </c>
      <c r="J14" s="2">
        <v>13249</v>
      </c>
      <c r="K14" s="2">
        <v>13525</v>
      </c>
      <c r="L14" s="106">
        <v>11472</v>
      </c>
      <c r="M14" s="117">
        <v>14382</v>
      </c>
      <c r="N14" s="117">
        <v>13927</v>
      </c>
      <c r="O14" s="117">
        <v>18444</v>
      </c>
      <c r="P14" s="117">
        <v>35016</v>
      </c>
      <c r="Q14" s="117">
        <v>31696</v>
      </c>
      <c r="R14" s="1">
        <v>33083</v>
      </c>
      <c r="S14" s="1">
        <v>35916</v>
      </c>
      <c r="T14" s="1">
        <v>34367</v>
      </c>
      <c r="U14" s="1">
        <v>38327</v>
      </c>
    </row>
    <row r="15" spans="1:21" x14ac:dyDescent="0.2">
      <c r="A15" s="26" t="s">
        <v>10</v>
      </c>
      <c r="B15" s="1">
        <v>9975</v>
      </c>
      <c r="C15" s="1">
        <v>-6209</v>
      </c>
      <c r="D15" s="2">
        <v>9751</v>
      </c>
      <c r="E15" s="2">
        <v>9273</v>
      </c>
      <c r="F15" s="2"/>
      <c r="G15" s="2">
        <v>10228</v>
      </c>
      <c r="H15" s="2">
        <v>11490</v>
      </c>
      <c r="I15" s="2">
        <v>10662</v>
      </c>
      <c r="J15" s="2">
        <v>12410</v>
      </c>
      <c r="K15" s="2">
        <v>11876</v>
      </c>
      <c r="L15" s="106">
        <v>13669</v>
      </c>
      <c r="M15" s="117">
        <v>14336</v>
      </c>
      <c r="N15" s="117">
        <v>15356</v>
      </c>
      <c r="O15" s="117">
        <v>30581</v>
      </c>
      <c r="P15" s="117">
        <v>26861</v>
      </c>
      <c r="Q15" s="117">
        <v>29474</v>
      </c>
      <c r="R15" s="1">
        <v>28118</v>
      </c>
      <c r="S15" s="1">
        <v>30570</v>
      </c>
      <c r="T15" s="1">
        <v>32872</v>
      </c>
      <c r="U15" s="1">
        <v>42342</v>
      </c>
    </row>
    <row r="16" spans="1:21" x14ac:dyDescent="0.2">
      <c r="A16" s="26" t="s">
        <v>11</v>
      </c>
      <c r="B16" s="39">
        <v>8158</v>
      </c>
      <c r="C16" s="39">
        <v>7785</v>
      </c>
      <c r="D16" s="39">
        <v>8049.28</v>
      </c>
      <c r="E16" s="39">
        <v>8350.7000000000007</v>
      </c>
      <c r="F16" s="39">
        <v>17937</v>
      </c>
      <c r="G16" s="40">
        <v>8235</v>
      </c>
      <c r="H16" s="39">
        <v>9560</v>
      </c>
      <c r="I16" s="40">
        <v>10808</v>
      </c>
      <c r="J16" s="40">
        <v>9771</v>
      </c>
      <c r="K16" s="40">
        <v>10472</v>
      </c>
      <c r="L16" s="95">
        <v>10538</v>
      </c>
      <c r="M16" s="95">
        <v>12242</v>
      </c>
      <c r="N16" s="95">
        <v>12270</v>
      </c>
      <c r="O16" s="95">
        <v>21572</v>
      </c>
      <c r="P16" s="95">
        <v>24073</v>
      </c>
      <c r="Q16" s="95">
        <v>23199</v>
      </c>
      <c r="R16" s="1">
        <v>25612</v>
      </c>
      <c r="S16" s="1">
        <v>27634</v>
      </c>
      <c r="T16" s="1">
        <v>31288</v>
      </c>
      <c r="U16" s="1">
        <v>33390</v>
      </c>
    </row>
    <row r="17" spans="1:21" x14ac:dyDescent="0.2">
      <c r="A17" s="25"/>
      <c r="B17" s="46">
        <f t="shared" ref="B17:H17" si="0">SUM(B5:B16)</f>
        <v>108918.93000000001</v>
      </c>
      <c r="C17" s="46">
        <f t="shared" si="0"/>
        <v>94417.53</v>
      </c>
      <c r="D17" s="41">
        <f t="shared" si="0"/>
        <v>112489.26</v>
      </c>
      <c r="E17" s="41">
        <f t="shared" si="0"/>
        <v>111577.64</v>
      </c>
      <c r="F17" s="41">
        <f t="shared" si="0"/>
        <v>114426.40999999999</v>
      </c>
      <c r="G17" s="41">
        <f t="shared" si="0"/>
        <v>124126</v>
      </c>
      <c r="H17" s="41">
        <f t="shared" si="0"/>
        <v>131278</v>
      </c>
      <c r="I17" s="44">
        <f t="shared" ref="I17:N17" si="1">SUM(I5:I16)</f>
        <v>122898</v>
      </c>
      <c r="J17" s="44">
        <f t="shared" si="1"/>
        <v>120885</v>
      </c>
      <c r="K17" s="44">
        <f t="shared" si="1"/>
        <v>170287</v>
      </c>
      <c r="L17" s="96">
        <f t="shared" si="1"/>
        <v>131298</v>
      </c>
      <c r="M17" s="96">
        <f t="shared" si="1"/>
        <v>162473</v>
      </c>
      <c r="N17" s="96">
        <f t="shared" si="1"/>
        <v>158247</v>
      </c>
      <c r="O17" s="96">
        <f t="shared" ref="O17:P17" si="2">SUM(O5:O16)</f>
        <v>200177</v>
      </c>
      <c r="P17" s="96">
        <f t="shared" si="2"/>
        <v>330664</v>
      </c>
      <c r="Q17" s="96">
        <f t="shared" ref="Q17:S17" si="3">SUM(Q5:Q16)</f>
        <v>337112</v>
      </c>
      <c r="R17" s="126">
        <f t="shared" ref="R17" si="4">SUM(R5:R16)</f>
        <v>325587</v>
      </c>
      <c r="S17" s="126">
        <f t="shared" si="3"/>
        <v>352626</v>
      </c>
      <c r="T17" s="126">
        <f t="shared" ref="T17:U17" si="5">SUM(T5:T16)</f>
        <v>373107</v>
      </c>
      <c r="U17" s="126">
        <f t="shared" si="5"/>
        <v>427787</v>
      </c>
    </row>
    <row r="18" spans="1:21" x14ac:dyDescent="0.2">
      <c r="A18" s="25"/>
      <c r="L18" s="94"/>
    </row>
    <row r="19" spans="1:21" x14ac:dyDescent="0.2">
      <c r="A19" s="25"/>
      <c r="F19" s="35" t="s">
        <v>110</v>
      </c>
      <c r="L19" s="94"/>
      <c r="O19" t="s">
        <v>291</v>
      </c>
    </row>
    <row r="20" spans="1:21" x14ac:dyDescent="0.2">
      <c r="F20" s="35" t="s">
        <v>111</v>
      </c>
      <c r="L20" s="94"/>
    </row>
    <row r="21" spans="1:21" x14ac:dyDescent="0.2">
      <c r="A21" s="24" t="s">
        <v>19</v>
      </c>
      <c r="B21" s="148">
        <v>5.0000000000000001E-3</v>
      </c>
      <c r="C21" s="94" t="s">
        <v>190</v>
      </c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</row>
    <row r="24" spans="1:21" x14ac:dyDescent="0.2">
      <c r="A24" s="26" t="s">
        <v>0</v>
      </c>
      <c r="B24" s="1">
        <v>3084.23</v>
      </c>
      <c r="C24" s="1">
        <v>811</v>
      </c>
      <c r="D24" s="2">
        <v>3700</v>
      </c>
      <c r="E24" s="2">
        <v>1668.15</v>
      </c>
      <c r="F24" s="2">
        <v>956</v>
      </c>
      <c r="G24" s="2">
        <v>1357</v>
      </c>
      <c r="H24" s="2">
        <v>2703</v>
      </c>
      <c r="I24" s="2">
        <v>2583</v>
      </c>
      <c r="J24" s="2">
        <v>1463</v>
      </c>
      <c r="K24" s="2">
        <v>1185</v>
      </c>
      <c r="L24" s="102">
        <v>1528</v>
      </c>
      <c r="M24" s="117">
        <v>7106</v>
      </c>
      <c r="N24" s="117">
        <v>1903</v>
      </c>
      <c r="O24" s="117">
        <v>1319</v>
      </c>
      <c r="P24" s="117">
        <v>10627</v>
      </c>
      <c r="Q24" s="117">
        <v>15333</v>
      </c>
      <c r="R24" s="1">
        <v>4972</v>
      </c>
      <c r="S24" s="1">
        <v>12686</v>
      </c>
      <c r="T24" s="1">
        <v>3041</v>
      </c>
      <c r="U24" s="1">
        <v>9516</v>
      </c>
    </row>
    <row r="25" spans="1:21" x14ac:dyDescent="0.2">
      <c r="A25" s="26" t="s">
        <v>1</v>
      </c>
      <c r="B25" s="1">
        <v>686</v>
      </c>
      <c r="C25" s="1">
        <v>1095</v>
      </c>
      <c r="D25" s="2">
        <v>4805</v>
      </c>
      <c r="E25" s="2">
        <v>743.88</v>
      </c>
      <c r="F25" s="2">
        <v>1404</v>
      </c>
      <c r="G25" s="2">
        <v>5199</v>
      </c>
      <c r="H25" s="2">
        <v>-3556</v>
      </c>
      <c r="I25" s="2">
        <v>1137</v>
      </c>
      <c r="J25" s="2">
        <v>734</v>
      </c>
      <c r="K25" s="2">
        <v>1133</v>
      </c>
      <c r="L25" s="102">
        <v>3082</v>
      </c>
      <c r="M25" s="117">
        <v>2176</v>
      </c>
      <c r="N25" s="117">
        <v>1996</v>
      </c>
      <c r="O25" s="117">
        <v>1217</v>
      </c>
      <c r="P25" s="117">
        <v>20298</v>
      </c>
      <c r="Q25" s="117">
        <v>3233</v>
      </c>
      <c r="R25" s="113">
        <v>4843</v>
      </c>
      <c r="S25" s="1">
        <v>3628</v>
      </c>
      <c r="T25" s="1">
        <v>466</v>
      </c>
      <c r="U25" s="1">
        <v>5240</v>
      </c>
    </row>
    <row r="26" spans="1:21" x14ac:dyDescent="0.2">
      <c r="A26" s="26" t="s">
        <v>2</v>
      </c>
      <c r="B26" s="1">
        <v>914.84</v>
      </c>
      <c r="C26" s="1">
        <v>1832.65</v>
      </c>
      <c r="D26" s="2">
        <v>5000</v>
      </c>
      <c r="E26" s="2">
        <v>1740.35</v>
      </c>
      <c r="F26" s="2">
        <v>1026</v>
      </c>
      <c r="G26" s="2">
        <v>850</v>
      </c>
      <c r="H26" s="2">
        <v>1169</v>
      </c>
      <c r="I26" s="2">
        <v>1156</v>
      </c>
      <c r="J26" s="2">
        <v>1105</v>
      </c>
      <c r="K26" s="2">
        <v>1308</v>
      </c>
      <c r="L26" s="102">
        <v>1643</v>
      </c>
      <c r="M26" s="117">
        <v>4286</v>
      </c>
      <c r="N26" s="117">
        <v>1963</v>
      </c>
      <c r="O26" s="117">
        <v>2188</v>
      </c>
      <c r="P26" s="117">
        <v>1978</v>
      </c>
      <c r="Q26" s="117">
        <v>5827</v>
      </c>
      <c r="R26" s="113">
        <v>5247</v>
      </c>
      <c r="S26" s="1">
        <v>3637</v>
      </c>
      <c r="T26" s="1">
        <v>-88</v>
      </c>
      <c r="U26" s="1">
        <v>4511</v>
      </c>
    </row>
    <row r="27" spans="1:21" x14ac:dyDescent="0.2">
      <c r="A27" s="26" t="s">
        <v>3</v>
      </c>
      <c r="B27" s="1">
        <v>1316</v>
      </c>
      <c r="C27" s="1">
        <v>5441.15</v>
      </c>
      <c r="D27" s="2">
        <v>4686</v>
      </c>
      <c r="E27" s="2">
        <v>1347.78</v>
      </c>
      <c r="F27" s="2">
        <v>1838</v>
      </c>
      <c r="G27" s="2">
        <v>1080</v>
      </c>
      <c r="H27" s="2">
        <v>351</v>
      </c>
      <c r="I27" s="2">
        <v>1977</v>
      </c>
      <c r="J27" s="2">
        <v>3049</v>
      </c>
      <c r="K27" s="2">
        <v>1015</v>
      </c>
      <c r="L27" s="102">
        <v>1183</v>
      </c>
      <c r="M27" s="117">
        <v>1788</v>
      </c>
      <c r="N27" s="117">
        <v>3412</v>
      </c>
      <c r="O27" s="117">
        <v>2393</v>
      </c>
      <c r="P27" s="117">
        <v>57953</v>
      </c>
      <c r="Q27" s="117">
        <v>5130</v>
      </c>
      <c r="R27" s="117">
        <v>3300</v>
      </c>
      <c r="S27" s="1">
        <v>8719</v>
      </c>
      <c r="T27" s="1">
        <v>3562</v>
      </c>
      <c r="U27" s="1">
        <v>5841</v>
      </c>
    </row>
    <row r="28" spans="1:21" x14ac:dyDescent="0.2">
      <c r="A28" s="26" t="s">
        <v>4</v>
      </c>
      <c r="B28" s="1">
        <v>841</v>
      </c>
      <c r="C28" s="1">
        <v>2641</v>
      </c>
      <c r="D28" s="2">
        <v>3541.62</v>
      </c>
      <c r="E28" s="2">
        <v>2574</v>
      </c>
      <c r="F28" s="2">
        <v>812</v>
      </c>
      <c r="G28" s="2">
        <v>939</v>
      </c>
      <c r="H28" s="2">
        <v>1248</v>
      </c>
      <c r="I28" s="2">
        <v>1831</v>
      </c>
      <c r="J28" s="2">
        <v>589</v>
      </c>
      <c r="K28" s="2">
        <v>7174</v>
      </c>
      <c r="L28" s="102">
        <v>4650</v>
      </c>
      <c r="M28" s="117">
        <v>7632</v>
      </c>
      <c r="N28" s="117">
        <v>3124</v>
      </c>
      <c r="O28" s="117">
        <v>2134</v>
      </c>
      <c r="P28" s="117">
        <v>16645</v>
      </c>
      <c r="Q28" s="117">
        <v>9103</v>
      </c>
      <c r="R28" s="1">
        <v>31321</v>
      </c>
      <c r="S28" s="1">
        <v>4485</v>
      </c>
      <c r="T28" s="1">
        <v>8429</v>
      </c>
      <c r="U28" s="1">
        <v>3774</v>
      </c>
    </row>
    <row r="29" spans="1:21" x14ac:dyDescent="0.2">
      <c r="A29" s="26" t="s">
        <v>5</v>
      </c>
      <c r="B29" s="1">
        <v>763</v>
      </c>
      <c r="C29" s="1">
        <v>2755</v>
      </c>
      <c r="D29" s="2">
        <v>1750.62</v>
      </c>
      <c r="E29" s="2">
        <v>2659</v>
      </c>
      <c r="F29" s="2">
        <v>1511</v>
      </c>
      <c r="G29" s="2">
        <v>1092</v>
      </c>
      <c r="H29" s="2">
        <v>1586</v>
      </c>
      <c r="I29" s="2">
        <v>3295</v>
      </c>
      <c r="J29" s="2">
        <v>2510</v>
      </c>
      <c r="K29" s="2">
        <v>6731</v>
      </c>
      <c r="L29" s="102">
        <v>2813</v>
      </c>
      <c r="M29" s="117">
        <v>2484</v>
      </c>
      <c r="N29" s="117">
        <v>5126</v>
      </c>
      <c r="O29" s="117">
        <v>4261</v>
      </c>
      <c r="P29" s="117">
        <v>6680</v>
      </c>
      <c r="Q29" s="117">
        <v>5939</v>
      </c>
      <c r="R29" s="113">
        <v>117</v>
      </c>
      <c r="S29" s="1">
        <v>3912</v>
      </c>
      <c r="T29" s="1">
        <v>7249</v>
      </c>
      <c r="U29" s="1">
        <v>14389</v>
      </c>
    </row>
    <row r="30" spans="1:21" x14ac:dyDescent="0.2">
      <c r="A30" s="26" t="s">
        <v>6</v>
      </c>
      <c r="B30" s="1">
        <v>1285</v>
      </c>
      <c r="C30" s="1">
        <v>510</v>
      </c>
      <c r="D30" s="2">
        <v>636</v>
      </c>
      <c r="E30" s="2">
        <v>1540.61</v>
      </c>
      <c r="F30" s="2">
        <v>1475</v>
      </c>
      <c r="G30" s="2">
        <v>2375</v>
      </c>
      <c r="H30" s="2">
        <v>1494</v>
      </c>
      <c r="I30" s="2">
        <v>3878</v>
      </c>
      <c r="J30" s="2">
        <v>10415</v>
      </c>
      <c r="K30" s="2">
        <v>2535</v>
      </c>
      <c r="L30" s="102">
        <v>829</v>
      </c>
      <c r="M30" s="117">
        <v>6303</v>
      </c>
      <c r="N30" s="117">
        <v>11209</v>
      </c>
      <c r="O30" s="117">
        <v>2755</v>
      </c>
      <c r="P30" s="117">
        <v>10293</v>
      </c>
      <c r="Q30" s="117">
        <v>3168</v>
      </c>
      <c r="R30" s="1">
        <v>5335</v>
      </c>
      <c r="S30" s="1">
        <v>5383</v>
      </c>
      <c r="T30" s="1">
        <v>35738</v>
      </c>
      <c r="U30" s="1">
        <v>3420</v>
      </c>
    </row>
    <row r="31" spans="1:21" x14ac:dyDescent="0.2">
      <c r="A31" s="26" t="s">
        <v>7</v>
      </c>
      <c r="B31" s="1">
        <v>1058</v>
      </c>
      <c r="C31" s="1">
        <v>4068</v>
      </c>
      <c r="D31" s="2">
        <v>4476</v>
      </c>
      <c r="E31" s="2">
        <v>2228</v>
      </c>
      <c r="F31" s="2">
        <v>1766</v>
      </c>
      <c r="G31" s="2">
        <v>1717</v>
      </c>
      <c r="H31" s="2">
        <v>1705</v>
      </c>
      <c r="I31" s="2">
        <v>2212</v>
      </c>
      <c r="J31" s="2">
        <v>6023</v>
      </c>
      <c r="K31" s="2">
        <v>2457</v>
      </c>
      <c r="L31" s="102">
        <v>17912</v>
      </c>
      <c r="M31" s="117">
        <v>4777</v>
      </c>
      <c r="N31" s="117">
        <v>14625</v>
      </c>
      <c r="O31" s="117">
        <v>2120</v>
      </c>
      <c r="P31" s="117">
        <v>4252</v>
      </c>
      <c r="Q31" s="117">
        <v>7252</v>
      </c>
      <c r="R31" s="1">
        <v>6013</v>
      </c>
      <c r="S31" s="1">
        <v>9646</v>
      </c>
      <c r="T31" s="1">
        <v>16633</v>
      </c>
      <c r="U31" s="1">
        <v>20225</v>
      </c>
    </row>
    <row r="32" spans="1:21" x14ac:dyDescent="0.2">
      <c r="A32" s="26" t="s">
        <v>8</v>
      </c>
      <c r="B32" s="1">
        <v>1510</v>
      </c>
      <c r="C32" s="1">
        <v>1979</v>
      </c>
      <c r="D32" s="2">
        <v>3451</v>
      </c>
      <c r="E32" s="2">
        <v>1282</v>
      </c>
      <c r="F32" s="2">
        <v>941</v>
      </c>
      <c r="G32" s="2">
        <v>3452</v>
      </c>
      <c r="H32" s="2">
        <v>1941</v>
      </c>
      <c r="I32" s="2">
        <v>3244</v>
      </c>
      <c r="J32" s="2">
        <v>4593</v>
      </c>
      <c r="K32" s="2">
        <v>9442</v>
      </c>
      <c r="L32" s="102">
        <v>6853</v>
      </c>
      <c r="M32" s="117">
        <v>4102</v>
      </c>
      <c r="N32" s="117">
        <v>6979</v>
      </c>
      <c r="O32" s="117">
        <v>6087</v>
      </c>
      <c r="P32" s="117">
        <v>12266</v>
      </c>
      <c r="Q32" s="117">
        <v>3284</v>
      </c>
      <c r="R32" s="2">
        <v>9179</v>
      </c>
      <c r="S32" s="1">
        <v>7516</v>
      </c>
      <c r="T32" s="1">
        <v>31061</v>
      </c>
      <c r="U32" s="1">
        <v>13038</v>
      </c>
    </row>
    <row r="33" spans="1:21" x14ac:dyDescent="0.2">
      <c r="A33" s="26" t="s">
        <v>9</v>
      </c>
      <c r="B33" s="1">
        <v>775</v>
      </c>
      <c r="C33" s="1">
        <v>2462</v>
      </c>
      <c r="D33" s="2">
        <v>2724</v>
      </c>
      <c r="E33" s="2">
        <v>2204</v>
      </c>
      <c r="F33" s="2">
        <v>2488.6999999999998</v>
      </c>
      <c r="G33" s="2">
        <v>3846</v>
      </c>
      <c r="H33" s="2">
        <v>6232</v>
      </c>
      <c r="I33" s="2">
        <v>3385</v>
      </c>
      <c r="J33" s="2">
        <v>6900</v>
      </c>
      <c r="K33" s="2">
        <v>6591</v>
      </c>
      <c r="L33" s="102">
        <v>3637</v>
      </c>
      <c r="M33" s="117">
        <v>2646</v>
      </c>
      <c r="N33" s="117">
        <v>6840</v>
      </c>
      <c r="O33" s="117">
        <v>3515</v>
      </c>
      <c r="P33" s="117">
        <v>5545</v>
      </c>
      <c r="Q33" s="117">
        <v>3384</v>
      </c>
      <c r="R33" s="1">
        <v>8769</v>
      </c>
      <c r="S33" s="1">
        <v>-20325</v>
      </c>
      <c r="T33" s="1">
        <v>11181</v>
      </c>
      <c r="U33" s="1">
        <v>5315</v>
      </c>
    </row>
    <row r="34" spans="1:21" x14ac:dyDescent="0.2">
      <c r="A34" s="26" t="s">
        <v>10</v>
      </c>
      <c r="B34" s="1">
        <v>643</v>
      </c>
      <c r="C34" s="1">
        <v>3474</v>
      </c>
      <c r="D34" s="2">
        <v>2898.09</v>
      </c>
      <c r="E34" s="2">
        <v>2182</v>
      </c>
      <c r="F34" s="2"/>
      <c r="G34" s="2">
        <v>2619</v>
      </c>
      <c r="H34" s="2">
        <v>2231</v>
      </c>
      <c r="I34" s="2">
        <v>1892</v>
      </c>
      <c r="J34" s="2">
        <v>2483</v>
      </c>
      <c r="K34" s="2">
        <v>2102</v>
      </c>
      <c r="L34" s="102">
        <v>2903</v>
      </c>
      <c r="M34" s="117">
        <v>4930</v>
      </c>
      <c r="N34" s="117">
        <v>3640</v>
      </c>
      <c r="O34" s="117">
        <v>2788</v>
      </c>
      <c r="P34" s="117">
        <v>6561</v>
      </c>
      <c r="Q34" s="117">
        <v>2257</v>
      </c>
      <c r="R34" s="1">
        <v>13784</v>
      </c>
      <c r="S34" s="1">
        <v>5431</v>
      </c>
      <c r="T34" s="1">
        <v>2913</v>
      </c>
      <c r="U34" s="1">
        <v>5315</v>
      </c>
    </row>
    <row r="35" spans="1:21" x14ac:dyDescent="0.2">
      <c r="A35" s="26" t="s">
        <v>11</v>
      </c>
      <c r="B35" s="39">
        <v>883</v>
      </c>
      <c r="C35" s="39">
        <v>5083.2299999999996</v>
      </c>
      <c r="D35" s="39">
        <v>1157</v>
      </c>
      <c r="E35" s="39">
        <v>834</v>
      </c>
      <c r="F35" s="39">
        <v>1523</v>
      </c>
      <c r="G35" s="40">
        <v>5764</v>
      </c>
      <c r="H35" s="40">
        <v>2559</v>
      </c>
      <c r="I35" s="40">
        <v>1618</v>
      </c>
      <c r="J35" s="40">
        <v>1614</v>
      </c>
      <c r="K35" s="40">
        <v>1870</v>
      </c>
      <c r="L35" s="95">
        <v>5270</v>
      </c>
      <c r="M35" s="95">
        <v>2318</v>
      </c>
      <c r="N35" s="95">
        <v>2625</v>
      </c>
      <c r="O35" s="95">
        <v>5400</v>
      </c>
      <c r="P35" s="95">
        <v>6030</v>
      </c>
      <c r="Q35" s="95">
        <v>4914</v>
      </c>
      <c r="R35" s="1">
        <v>20890</v>
      </c>
      <c r="S35" s="1">
        <v>5219</v>
      </c>
      <c r="T35" s="1">
        <v>2810</v>
      </c>
      <c r="U35" s="1">
        <v>7349</v>
      </c>
    </row>
    <row r="36" spans="1:21" x14ac:dyDescent="0.2">
      <c r="A36" s="25"/>
      <c r="B36" s="46">
        <f t="shared" ref="B36:H36" si="6">SUM(B24:B35)</f>
        <v>13759.07</v>
      </c>
      <c r="C36" s="46">
        <f t="shared" si="6"/>
        <v>32152.03</v>
      </c>
      <c r="D36" s="41">
        <f t="shared" si="6"/>
        <v>38825.33</v>
      </c>
      <c r="E36" s="41">
        <f t="shared" si="6"/>
        <v>21003.77</v>
      </c>
      <c r="F36" s="41">
        <f t="shared" si="6"/>
        <v>15740.7</v>
      </c>
      <c r="G36" s="41">
        <f t="shared" si="6"/>
        <v>30290</v>
      </c>
      <c r="H36" s="41">
        <f t="shared" si="6"/>
        <v>19663</v>
      </c>
      <c r="I36" s="44">
        <f t="shared" ref="I36:O36" si="7">SUM(I24:I35)</f>
        <v>28208</v>
      </c>
      <c r="J36" s="44">
        <f t="shared" si="7"/>
        <v>41478</v>
      </c>
      <c r="K36" s="44">
        <f t="shared" si="7"/>
        <v>43543</v>
      </c>
      <c r="L36" s="96">
        <f t="shared" si="7"/>
        <v>52303</v>
      </c>
      <c r="M36" s="96">
        <f t="shared" si="7"/>
        <v>50548</v>
      </c>
      <c r="N36" s="96">
        <f t="shared" si="7"/>
        <v>63442</v>
      </c>
      <c r="O36" s="96">
        <f t="shared" si="7"/>
        <v>36177</v>
      </c>
      <c r="P36" s="96">
        <f t="shared" ref="P36:Q36" si="8">SUM(P24:P35)</f>
        <v>159128</v>
      </c>
      <c r="Q36" s="96">
        <f t="shared" si="8"/>
        <v>68824</v>
      </c>
      <c r="R36" s="126">
        <f t="shared" ref="R36:S36" si="9">SUM(R24:R35)</f>
        <v>113770</v>
      </c>
      <c r="S36" s="126">
        <f t="shared" si="9"/>
        <v>49937</v>
      </c>
      <c r="T36" s="126">
        <f t="shared" ref="T36:U36" si="10">SUM(T24:T35)</f>
        <v>122995</v>
      </c>
      <c r="U36" s="126">
        <f t="shared" si="10"/>
        <v>97933</v>
      </c>
    </row>
    <row r="37" spans="1:21" x14ac:dyDescent="0.2">
      <c r="A37" s="25"/>
      <c r="B37" s="19"/>
      <c r="C37" s="46"/>
      <c r="D37" s="41"/>
      <c r="E37" s="41"/>
      <c r="F37" s="41"/>
      <c r="G37" s="41"/>
      <c r="H37" s="41"/>
      <c r="I37" s="44"/>
      <c r="J37" s="44"/>
      <c r="K37" s="44"/>
      <c r="L37" s="96"/>
      <c r="M37" s="96"/>
      <c r="N37" s="96"/>
      <c r="O37" s="96"/>
      <c r="P37" s="96"/>
      <c r="Q37" s="96"/>
      <c r="R37" s="96"/>
      <c r="S37" s="96"/>
      <c r="T37" s="96"/>
      <c r="U37" s="96"/>
    </row>
    <row r="38" spans="1:21" x14ac:dyDescent="0.2">
      <c r="A38" s="25"/>
      <c r="B38" s="19"/>
      <c r="C38" s="46"/>
      <c r="D38" s="41"/>
      <c r="E38" s="41"/>
      <c r="F38" s="41"/>
      <c r="G38" s="41"/>
      <c r="H38" s="41"/>
      <c r="I38" s="44"/>
      <c r="J38" s="44"/>
      <c r="K38" s="44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x14ac:dyDescent="0.2">
      <c r="A39" s="29" t="s">
        <v>254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7">
        <v>0</v>
      </c>
      <c r="P42" s="117">
        <v>0</v>
      </c>
      <c r="Q42" s="117">
        <v>0</v>
      </c>
      <c r="R42" s="1">
        <v>-283</v>
      </c>
      <c r="S42" s="117">
        <v>0</v>
      </c>
      <c r="T42" s="117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0</v>
      </c>
      <c r="I43" s="2">
        <v>0</v>
      </c>
      <c r="J43" s="2">
        <v>-4</v>
      </c>
      <c r="K43" s="2">
        <v>0</v>
      </c>
      <c r="L43" s="2">
        <v>0</v>
      </c>
      <c r="M43" s="2">
        <v>-43</v>
      </c>
      <c r="N43" s="2">
        <v>0</v>
      </c>
      <c r="O43" s="117">
        <v>-9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-4702</v>
      </c>
      <c r="H44" s="2">
        <v>0</v>
      </c>
      <c r="I44" s="2">
        <v>-24</v>
      </c>
      <c r="J44" s="2">
        <v>-1</v>
      </c>
      <c r="K44" s="2">
        <v>0</v>
      </c>
      <c r="L44" s="2">
        <v>0</v>
      </c>
      <c r="M44" s="2">
        <v>0</v>
      </c>
      <c r="N44" s="2">
        <v>-31</v>
      </c>
      <c r="O44" s="117">
        <v>0</v>
      </c>
      <c r="P44" s="117">
        <v>0</v>
      </c>
      <c r="Q44" s="117">
        <v>-38</v>
      </c>
      <c r="R44" s="117">
        <v>0</v>
      </c>
      <c r="S44" s="117">
        <v>0</v>
      </c>
      <c r="T44" s="117">
        <v>-18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-48</v>
      </c>
      <c r="I45" s="2">
        <v>0</v>
      </c>
      <c r="J45" s="2">
        <v>-6</v>
      </c>
      <c r="K45" s="2">
        <v>0</v>
      </c>
      <c r="L45" s="2">
        <v>0</v>
      </c>
      <c r="M45" s="2">
        <v>0</v>
      </c>
      <c r="N45" s="2">
        <v>-42</v>
      </c>
      <c r="O45" s="117">
        <v>0</v>
      </c>
      <c r="P45" s="117">
        <v>0</v>
      </c>
      <c r="Q45" s="117">
        <v>0</v>
      </c>
      <c r="R45" s="117">
        <v>-485</v>
      </c>
      <c r="S45" s="117">
        <v>-133</v>
      </c>
      <c r="T45" s="117">
        <v>0</v>
      </c>
      <c r="U45" s="117">
        <v>-20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-128</v>
      </c>
      <c r="I46" s="2">
        <v>0</v>
      </c>
      <c r="J46" s="2">
        <v>0</v>
      </c>
      <c r="K46" s="2">
        <v>0</v>
      </c>
      <c r="L46" s="2">
        <v>-33</v>
      </c>
      <c r="M46" s="2">
        <v>0</v>
      </c>
      <c r="N46" s="2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0</v>
      </c>
      <c r="J47" s="2">
        <v>0</v>
      </c>
      <c r="K47" s="2">
        <v>-16155</v>
      </c>
      <c r="L47" s="2">
        <v>0</v>
      </c>
      <c r="M47" s="2">
        <v>0</v>
      </c>
      <c r="N47" s="2">
        <v>0</v>
      </c>
      <c r="O47" s="117">
        <v>0</v>
      </c>
      <c r="P47" s="117">
        <v>0</v>
      </c>
      <c r="Q47" s="117">
        <v>-120</v>
      </c>
      <c r="R47" s="117">
        <v>0</v>
      </c>
      <c r="S47" s="117">
        <v>0</v>
      </c>
      <c r="T47" s="117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-1031</v>
      </c>
      <c r="H48" s="2">
        <v>0</v>
      </c>
      <c r="I48" s="2">
        <v>-188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-1008</v>
      </c>
      <c r="I49" s="2">
        <v>0</v>
      </c>
      <c r="J49" s="2">
        <v>0</v>
      </c>
      <c r="K49" s="2">
        <v>-32</v>
      </c>
      <c r="L49" s="2">
        <v>0</v>
      </c>
      <c r="M49" s="2">
        <v>0</v>
      </c>
      <c r="N49" s="2">
        <v>0</v>
      </c>
      <c r="O49" s="117">
        <v>0</v>
      </c>
      <c r="P49" s="117">
        <v>0</v>
      </c>
      <c r="Q49" s="117">
        <v>0</v>
      </c>
      <c r="R49" s="117">
        <v>-485</v>
      </c>
      <c r="S49" s="117">
        <v>0</v>
      </c>
      <c r="T49" s="117">
        <v>0</v>
      </c>
      <c r="U49" s="117">
        <v>-10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-11</v>
      </c>
      <c r="M50" s="2">
        <v>0</v>
      </c>
      <c r="N50" s="2">
        <v>0</v>
      </c>
      <c r="O50" s="117">
        <v>-1</v>
      </c>
      <c r="P50" s="117">
        <v>0</v>
      </c>
      <c r="Q50" s="117">
        <v>-283</v>
      </c>
      <c r="R50" s="117">
        <v>0</v>
      </c>
      <c r="S50" s="117">
        <v>0</v>
      </c>
      <c r="T50" s="117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-421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0</v>
      </c>
      <c r="H52" s="2">
        <v>-1094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O54" si="11">SUM(G42:G53)</f>
        <v>-5733</v>
      </c>
      <c r="H54" s="126">
        <f t="shared" si="11"/>
        <v>-2278</v>
      </c>
      <c r="I54" s="126">
        <f t="shared" si="11"/>
        <v>-212</v>
      </c>
      <c r="J54" s="126">
        <f t="shared" si="11"/>
        <v>-11</v>
      </c>
      <c r="K54" s="126">
        <f t="shared" si="11"/>
        <v>-16187</v>
      </c>
      <c r="L54" s="126">
        <f t="shared" si="11"/>
        <v>-465</v>
      </c>
      <c r="M54" s="126">
        <f t="shared" si="11"/>
        <v>-43</v>
      </c>
      <c r="N54" s="126">
        <f t="shared" si="11"/>
        <v>-73</v>
      </c>
      <c r="O54" s="96">
        <f t="shared" si="11"/>
        <v>-10</v>
      </c>
      <c r="P54" s="96">
        <f t="shared" ref="P54:Q54" si="12">SUM(P42:P53)</f>
        <v>0</v>
      </c>
      <c r="Q54" s="96">
        <f t="shared" si="12"/>
        <v>-441</v>
      </c>
      <c r="R54" s="126">
        <f t="shared" ref="R54:S54" si="13">SUM(R42:R53)</f>
        <v>-1253</v>
      </c>
      <c r="S54" s="96">
        <f t="shared" si="13"/>
        <v>-133</v>
      </c>
      <c r="T54" s="96">
        <f t="shared" ref="T54:U54" si="14">SUM(T42:T53)</f>
        <v>-18</v>
      </c>
      <c r="U54" s="96">
        <f t="shared" si="14"/>
        <v>-30</v>
      </c>
    </row>
    <row r="55" spans="1:21" x14ac:dyDescent="0.2">
      <c r="A55" s="25"/>
      <c r="B55" s="31"/>
      <c r="C55" s="31"/>
      <c r="D55" s="31"/>
      <c r="E55" s="31"/>
      <c r="F55" s="31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</row>
    <row r="56" spans="1:21" x14ac:dyDescent="0.2">
      <c r="A56" s="25"/>
      <c r="L56" s="94"/>
    </row>
    <row r="57" spans="1:21" x14ac:dyDescent="0.2">
      <c r="A57" s="29" t="s">
        <v>176</v>
      </c>
      <c r="C57" s="94" t="s">
        <v>191</v>
      </c>
    </row>
    <row r="58" spans="1:21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6" t="s">
        <v>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>
        <v>6665</v>
      </c>
      <c r="O59" s="117">
        <v>7242</v>
      </c>
      <c r="P59" s="117">
        <v>8348</v>
      </c>
      <c r="Q59" s="117">
        <v>6423</v>
      </c>
      <c r="R59" s="1">
        <v>6206</v>
      </c>
      <c r="S59" s="1">
        <v>3695</v>
      </c>
      <c r="T59" s="1">
        <v>6431</v>
      </c>
      <c r="U59" s="1">
        <v>6775</v>
      </c>
    </row>
    <row r="60" spans="1:21" x14ac:dyDescent="0.2">
      <c r="A60" s="26" t="s">
        <v>1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>
        <v>5702</v>
      </c>
      <c r="O60" s="117">
        <v>5627</v>
      </c>
      <c r="P60" s="117">
        <v>5777</v>
      </c>
      <c r="Q60" s="117">
        <v>5417</v>
      </c>
      <c r="R60" s="113">
        <v>5662</v>
      </c>
      <c r="S60" s="1">
        <v>4528</v>
      </c>
      <c r="T60" s="1">
        <v>5524</v>
      </c>
      <c r="U60" s="1">
        <v>6044</v>
      </c>
    </row>
    <row r="61" spans="1:21" x14ac:dyDescent="0.2">
      <c r="A61" s="26" t="s">
        <v>2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>
        <v>5517</v>
      </c>
      <c r="O61" s="117">
        <v>5351</v>
      </c>
      <c r="P61" s="117">
        <v>5433</v>
      </c>
      <c r="Q61" s="117">
        <v>4988</v>
      </c>
      <c r="R61" s="113">
        <v>5382</v>
      </c>
      <c r="S61" s="1">
        <v>4632</v>
      </c>
      <c r="T61" s="1">
        <v>5491</v>
      </c>
      <c r="U61" s="1">
        <v>5815</v>
      </c>
    </row>
    <row r="62" spans="1:21" x14ac:dyDescent="0.2">
      <c r="A62" s="26" t="s">
        <v>3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>
        <v>5987</v>
      </c>
      <c r="O62" s="117">
        <v>5608</v>
      </c>
      <c r="P62" s="117">
        <v>6152</v>
      </c>
      <c r="Q62" s="117">
        <v>5665</v>
      </c>
      <c r="R62" s="117">
        <v>3561</v>
      </c>
      <c r="S62" s="1">
        <v>5423</v>
      </c>
      <c r="T62" s="1">
        <v>6102</v>
      </c>
      <c r="U62" s="1">
        <v>6521</v>
      </c>
    </row>
    <row r="63" spans="1:21" x14ac:dyDescent="0.2">
      <c r="A63" s="26" t="s">
        <v>4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>
        <v>4056</v>
      </c>
      <c r="N63" s="117">
        <v>5970</v>
      </c>
      <c r="O63" s="117">
        <v>5846</v>
      </c>
      <c r="P63" s="117">
        <v>5579</v>
      </c>
      <c r="Q63" s="117">
        <v>5119</v>
      </c>
      <c r="R63" s="117">
        <v>1717</v>
      </c>
      <c r="S63" s="1">
        <v>5266</v>
      </c>
      <c r="T63" s="1">
        <v>6226</v>
      </c>
      <c r="U63" s="1">
        <v>5915</v>
      </c>
    </row>
    <row r="64" spans="1:21" x14ac:dyDescent="0.2">
      <c r="A64" s="26" t="s">
        <v>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>
        <v>6216</v>
      </c>
      <c r="N64" s="117">
        <v>6196</v>
      </c>
      <c r="O64" s="117">
        <v>6559</v>
      </c>
      <c r="P64" s="117">
        <v>6040</v>
      </c>
      <c r="Q64" s="117">
        <v>6109</v>
      </c>
      <c r="R64" s="113">
        <v>2924</v>
      </c>
      <c r="S64" s="1">
        <v>6157</v>
      </c>
      <c r="T64" s="1">
        <v>6131</v>
      </c>
      <c r="U64" s="1">
        <v>6257</v>
      </c>
    </row>
    <row r="65" spans="1:21" x14ac:dyDescent="0.2">
      <c r="A65" s="26" t="s">
        <v>6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>
        <v>6311</v>
      </c>
      <c r="N65" s="117">
        <v>6416</v>
      </c>
      <c r="O65" s="117">
        <v>7220</v>
      </c>
      <c r="P65" s="117">
        <v>6455</v>
      </c>
      <c r="Q65" s="117">
        <v>6491</v>
      </c>
      <c r="R65" s="1">
        <v>4618</v>
      </c>
      <c r="S65" s="1">
        <v>6864</v>
      </c>
      <c r="T65" s="1">
        <v>6846</v>
      </c>
      <c r="U65" s="1">
        <v>7702</v>
      </c>
    </row>
    <row r="66" spans="1:21" x14ac:dyDescent="0.2">
      <c r="A66" s="26" t="s">
        <v>7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>
        <v>6839</v>
      </c>
      <c r="N66" s="117">
        <v>7292</v>
      </c>
      <c r="O66" s="117">
        <v>6913</v>
      </c>
      <c r="P66" s="117">
        <v>6408</v>
      </c>
      <c r="Q66" s="117">
        <v>6624</v>
      </c>
      <c r="R66" s="1">
        <v>5611</v>
      </c>
      <c r="S66" s="1">
        <v>7324</v>
      </c>
      <c r="T66" s="1">
        <v>7298</v>
      </c>
      <c r="U66" s="1">
        <v>6880</v>
      </c>
    </row>
    <row r="67" spans="1:21" x14ac:dyDescent="0.2">
      <c r="A67" s="26" t="s">
        <v>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>
        <v>8520</v>
      </c>
      <c r="N67" s="117">
        <v>7620</v>
      </c>
      <c r="O67" s="117">
        <v>7282</v>
      </c>
      <c r="P67" s="117">
        <v>7209</v>
      </c>
      <c r="Q67" s="117">
        <v>7636</v>
      </c>
      <c r="R67" s="2">
        <v>5928</v>
      </c>
      <c r="S67" s="1">
        <v>8048</v>
      </c>
      <c r="T67" s="1">
        <v>8292</v>
      </c>
      <c r="U67" s="1">
        <v>7543</v>
      </c>
    </row>
    <row r="68" spans="1:21" x14ac:dyDescent="0.2">
      <c r="A68" s="26" t="s">
        <v>9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>
        <v>6516</v>
      </c>
      <c r="N68" s="117">
        <v>6498</v>
      </c>
      <c r="O68" s="117">
        <v>6809</v>
      </c>
      <c r="P68" s="117">
        <v>15698</v>
      </c>
      <c r="Q68" s="117">
        <v>6141</v>
      </c>
      <c r="R68" s="117">
        <v>5766</v>
      </c>
      <c r="S68" s="1">
        <v>6730</v>
      </c>
      <c r="T68" s="1">
        <v>7357</v>
      </c>
      <c r="U68" s="1">
        <v>7817</v>
      </c>
    </row>
    <row r="69" spans="1:21" x14ac:dyDescent="0.2">
      <c r="A69" s="26" t="s">
        <v>10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>
        <v>7327</v>
      </c>
      <c r="N69" s="117">
        <v>6831</v>
      </c>
      <c r="O69" s="117">
        <v>7136</v>
      </c>
      <c r="P69" s="117">
        <v>6544</v>
      </c>
      <c r="Q69" s="117">
        <v>6264</v>
      </c>
      <c r="R69" s="1">
        <v>5545</v>
      </c>
      <c r="S69" s="1">
        <v>7431</v>
      </c>
      <c r="T69" s="1">
        <v>7635</v>
      </c>
      <c r="U69" s="1">
        <v>7163</v>
      </c>
    </row>
    <row r="70" spans="1:21" x14ac:dyDescent="0.2">
      <c r="A70" s="26" t="s">
        <v>11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>
        <v>5888</v>
      </c>
      <c r="N70" s="117">
        <v>6125</v>
      </c>
      <c r="O70" s="117">
        <v>6048</v>
      </c>
      <c r="P70" s="117">
        <v>5612</v>
      </c>
      <c r="Q70" s="117">
        <v>5534</v>
      </c>
      <c r="R70" s="1">
        <v>3819</v>
      </c>
      <c r="S70" s="1">
        <v>5658</v>
      </c>
      <c r="T70" s="1">
        <v>5771</v>
      </c>
      <c r="U70" s="1">
        <v>5918</v>
      </c>
    </row>
    <row r="71" spans="1:21" x14ac:dyDescent="0.2">
      <c r="B71" s="137">
        <f t="shared" ref="B71:H71" si="15">SUM(B59:B70)</f>
        <v>0</v>
      </c>
      <c r="C71" s="138">
        <f t="shared" si="15"/>
        <v>0</v>
      </c>
      <c r="D71" s="124">
        <f t="shared" si="15"/>
        <v>0</v>
      </c>
      <c r="E71" s="124">
        <f t="shared" si="15"/>
        <v>0</v>
      </c>
      <c r="F71" s="124">
        <f t="shared" si="15"/>
        <v>0</v>
      </c>
      <c r="G71" s="124">
        <f t="shared" si="15"/>
        <v>0</v>
      </c>
      <c r="H71" s="124">
        <f t="shared" si="15"/>
        <v>0</v>
      </c>
      <c r="I71" s="125">
        <f t="shared" ref="I71:N71" si="16">SUM(I59:I70)</f>
        <v>0</v>
      </c>
      <c r="J71" s="125">
        <f t="shared" si="16"/>
        <v>0</v>
      </c>
      <c r="K71" s="125">
        <f t="shared" si="16"/>
        <v>0</v>
      </c>
      <c r="L71" s="126">
        <f t="shared" si="16"/>
        <v>0</v>
      </c>
      <c r="M71" s="126">
        <f t="shared" si="16"/>
        <v>51673</v>
      </c>
      <c r="N71" s="126">
        <f t="shared" si="16"/>
        <v>76819</v>
      </c>
      <c r="O71" s="126">
        <f t="shared" ref="O71:P71" si="17">SUM(O59:O70)</f>
        <v>77641</v>
      </c>
      <c r="P71" s="126">
        <f t="shared" si="17"/>
        <v>85255</v>
      </c>
      <c r="Q71" s="126">
        <f t="shared" ref="Q71:S71" si="18">SUM(Q59:Q70)</f>
        <v>72411</v>
      </c>
      <c r="R71" s="126">
        <f t="shared" ref="R71" si="19">SUM(R59:R70)</f>
        <v>56739</v>
      </c>
      <c r="S71" s="126">
        <f t="shared" si="18"/>
        <v>71756</v>
      </c>
      <c r="T71" s="126">
        <f t="shared" ref="T71:U71" si="20">SUM(T59:T70)</f>
        <v>79104</v>
      </c>
      <c r="U71" s="126">
        <f t="shared" si="20"/>
        <v>80350</v>
      </c>
    </row>
  </sheetData>
  <phoneticPr fontId="4" type="noConversion"/>
  <pageMargins left="0.33" right="0.31" top="1" bottom="1" header="0.5" footer="0.5"/>
  <pageSetup orientation="landscape" r:id="rId1"/>
  <headerFooter alignWithMargins="0">
    <oddHeader>&amp;A</oddHeader>
  </headerFooter>
  <legacy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6276-FAEA-4462-9A74-67E0063BA8DC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0" width="9.28515625" bestFit="1" customWidth="1"/>
  </cols>
  <sheetData>
    <row r="1" spans="1:21" x14ac:dyDescent="0.2">
      <c r="A1" s="121" t="s">
        <v>468</v>
      </c>
    </row>
    <row r="2" spans="1:21" x14ac:dyDescent="0.2">
      <c r="A2" s="24" t="s">
        <v>84</v>
      </c>
      <c r="B2" s="6">
        <v>5.0000000000000001E-3</v>
      </c>
      <c r="D2" s="94" t="s">
        <v>466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>
        <v>29495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>
        <v>25472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>
        <v>22310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26116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26146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32035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>
        <v>12</v>
      </c>
      <c r="U11" s="1">
        <v>33655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>
        <v>28696</v>
      </c>
      <c r="U12" s="1">
        <v>28273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>
        <v>26585</v>
      </c>
      <c r="U13" s="1">
        <v>39583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>
        <v>25233</v>
      </c>
      <c r="U14" s="1">
        <v>38503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>
        <v>27533</v>
      </c>
      <c r="U15" s="1">
        <v>27918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>
        <v>27896</v>
      </c>
      <c r="U16" s="1">
        <v>29368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135955</v>
      </c>
      <c r="U17" s="126">
        <f>SUM(U5:U16)</f>
        <v>358874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466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>
        <v>8484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>
        <v>1464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>
        <v>3393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2382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3728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7441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>
        <v>12</v>
      </c>
      <c r="U30" s="1">
        <v>7660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>
        <v>1210</v>
      </c>
      <c r="U31" s="1">
        <v>1753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>
        <v>2879</v>
      </c>
      <c r="U32" s="1">
        <v>1644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>
        <v>3966</v>
      </c>
      <c r="U33" s="1">
        <v>4410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>
        <v>3490</v>
      </c>
      <c r="U34" s="1">
        <v>3365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>
        <v>18279</v>
      </c>
      <c r="U35" s="1">
        <v>1375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29836</v>
      </c>
      <c r="U36" s="126">
        <f>SUM(U24:U35)</f>
        <v>47099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0255-9E56-4F61-9495-FEA3E1AD5A15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</cols>
  <sheetData>
    <row r="1" spans="1:21" x14ac:dyDescent="0.2">
      <c r="A1" s="121" t="s">
        <v>474</v>
      </c>
    </row>
    <row r="2" spans="1:21" x14ac:dyDescent="0.2">
      <c r="A2" s="24" t="s">
        <v>84</v>
      </c>
      <c r="B2" s="6">
        <v>5.0000000000000001E-3</v>
      </c>
      <c r="D2" s="94" t="s">
        <v>475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>
        <v>10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>
        <v>43482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>
        <v>42233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52274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48624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63866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82023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77798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86780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76829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67422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74964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/>
      <c r="U17" s="126">
        <f>SUM(U5:U16)</f>
        <v>716305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475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>
        <v>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>
        <v>840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>
        <v>5031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2272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3081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1968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6163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4218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4324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4053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3752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3759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/>
      <c r="U36" s="126">
        <f>SUM(U24:U35)</f>
        <v>39461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/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BCED-A574-4758-9984-84E2C775A627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480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750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167078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230354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223558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220596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222359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212610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223903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214162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1715370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481</v>
      </c>
      <c r="B21" s="6">
        <v>5.0000000000000001E-3</v>
      </c>
      <c r="D21" s="94" t="s">
        <v>466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286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5784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10485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14370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13707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11784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11451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12934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7801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88602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482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-34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-34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3961-93F7-42E7-A07C-784AFE4085A4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498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506929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558779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655253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555712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598542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611307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575817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605187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4667526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499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13244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16594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27699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19173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20947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22018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25320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30685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175680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500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5D97-A3B6-4055-BEC1-85D2B5160424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483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274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189077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231556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243479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212969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235650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246729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229423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223697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1812854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484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3965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4760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12674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10342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10867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10223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8919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8881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70631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485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-1252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-1252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9BCF-806B-4339-8973-58D1AB40EF65}">
  <dimension ref="A1:U80"/>
  <sheetViews>
    <sheetView workbookViewId="0">
      <pane xSplit="1" topLeftCell="P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 t="s">
        <v>477</v>
      </c>
    </row>
    <row r="2" spans="1:21" x14ac:dyDescent="0.2">
      <c r="A2" s="24" t="s">
        <v>75</v>
      </c>
      <c r="B2" s="6">
        <v>0.01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77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467740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674722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750065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729487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701359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677090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629581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592586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/>
      <c r="U17" s="126">
        <f>SUM(U5:U16)</f>
        <v>5222707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74</v>
      </c>
      <c r="B21" s="6">
        <v>5.0000000000000001E-3</v>
      </c>
      <c r="D21" s="94" t="s">
        <v>475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15355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30813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30331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22443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29795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28770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30407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21609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/>
      <c r="U36" s="126">
        <f>SUM(U24:U35)</f>
        <v>209523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478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-792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-112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/>
      <c r="U54" s="126">
        <f>SUM(U42:U53)</f>
        <v>-904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43C4-EDEF-433C-8E8C-55977F53890F}">
  <dimension ref="A1:U80"/>
  <sheetViews>
    <sheetView workbookViewId="0">
      <pane xSplit="1" topLeftCell="P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486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11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131207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183472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193683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185208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176101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173576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168123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155024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1366405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487</v>
      </c>
      <c r="B21" s="6">
        <v>5.0000000000000001E-3</v>
      </c>
      <c r="D21" s="94" t="s">
        <v>466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2887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7234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7734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6237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8523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4314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7709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5268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49906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488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-81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-81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1C1-6194-4D8E-9426-0484C2F8C332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0" width="9.28515625" bestFit="1" customWidth="1"/>
  </cols>
  <sheetData>
    <row r="1" spans="1:21" x14ac:dyDescent="0.2">
      <c r="A1" s="121" t="s">
        <v>501</v>
      </c>
    </row>
    <row r="2" spans="1:21" x14ac:dyDescent="0.2">
      <c r="A2" s="24" t="s">
        <v>39</v>
      </c>
      <c r="B2" s="6">
        <v>0.03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28182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25778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58943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64715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65285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63622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58791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39712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>
        <f>SUM(S5:S16)</f>
        <v>0</v>
      </c>
      <c r="T17" s="126">
        <f t="shared" ref="T17" si="0">SUM(T5:T16)</f>
        <v>0</v>
      </c>
      <c r="U17" s="126">
        <f>SUM(U5:U16)</f>
        <v>405028</v>
      </c>
    </row>
    <row r="18" spans="1:21" x14ac:dyDescent="0.2">
      <c r="A18" s="25"/>
      <c r="B18" s="4"/>
      <c r="F18" s="2"/>
      <c r="H18" s="2"/>
      <c r="L18" s="94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4C67-810E-4C84-8840-96AB15C5D782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489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104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611447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719080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794645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752007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814528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735325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755170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734916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5917222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490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82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24137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50718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69194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44513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40952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50408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35146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41503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356653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491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4002-DAF0-4C37-A95B-4275E459F855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</cols>
  <sheetData>
    <row r="1" spans="1:21" x14ac:dyDescent="0.2">
      <c r="A1" s="121"/>
    </row>
    <row r="2" spans="1:21" x14ac:dyDescent="0.2">
      <c r="A2" s="24" t="s">
        <v>502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7811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7791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10140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8595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8936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9439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7548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8215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68475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503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62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42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112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76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165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69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851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70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1447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504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3" width="9.140625" bestFit="1" customWidth="1"/>
    <col min="4" max="4" width="9.28515625" bestFit="1" customWidth="1"/>
    <col min="5" max="8" width="9.140625" bestFit="1" customWidth="1"/>
    <col min="9" max="10" width="8.85546875" bestFit="1" customWidth="1"/>
    <col min="11" max="11" width="10.140625" bestFit="1" customWidth="1"/>
    <col min="12" max="21" width="10.7109375" bestFit="1" customWidth="1"/>
  </cols>
  <sheetData>
    <row r="2" spans="1:21" x14ac:dyDescent="0.2">
      <c r="A2" s="24" t="s">
        <v>34</v>
      </c>
      <c r="B2" s="148">
        <v>5.0000000000000001E-3</v>
      </c>
      <c r="C2" s="94" t="s">
        <v>192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77026</v>
      </c>
      <c r="C5" s="1">
        <v>74319</v>
      </c>
      <c r="D5" s="2">
        <v>80182</v>
      </c>
      <c r="E5" s="2">
        <v>84062.31</v>
      </c>
      <c r="F5" s="2">
        <v>91124.98</v>
      </c>
      <c r="G5" s="2">
        <v>85124</v>
      </c>
      <c r="H5" s="2">
        <v>88876</v>
      </c>
      <c r="I5" s="2">
        <v>91544</v>
      </c>
      <c r="J5" s="2">
        <v>89862</v>
      </c>
      <c r="K5" s="2">
        <v>97465</v>
      </c>
      <c r="L5" s="102">
        <v>149355</v>
      </c>
      <c r="M5" s="117">
        <v>100337</v>
      </c>
      <c r="N5" s="117">
        <v>113453</v>
      </c>
      <c r="O5" s="117">
        <v>109400</v>
      </c>
      <c r="P5" s="117">
        <v>103175</v>
      </c>
      <c r="Q5" s="117">
        <v>102675</v>
      </c>
      <c r="R5" s="1">
        <v>114180</v>
      </c>
      <c r="S5" s="1">
        <v>113134</v>
      </c>
      <c r="T5" s="1">
        <v>134796</v>
      </c>
      <c r="U5" s="1">
        <v>144436</v>
      </c>
    </row>
    <row r="6" spans="1:21" x14ac:dyDescent="0.2">
      <c r="A6" s="26" t="s">
        <v>1</v>
      </c>
      <c r="B6" s="1">
        <v>49443.43</v>
      </c>
      <c r="C6" s="1">
        <v>56423.18</v>
      </c>
      <c r="D6" s="2">
        <v>56376.74</v>
      </c>
      <c r="E6" s="2">
        <v>60549.15</v>
      </c>
      <c r="F6" s="2">
        <v>60446.59</v>
      </c>
      <c r="G6" s="2">
        <v>65766</v>
      </c>
      <c r="H6" s="2">
        <v>60722</v>
      </c>
      <c r="I6" s="2">
        <v>60815</v>
      </c>
      <c r="J6" s="2">
        <v>63202</v>
      </c>
      <c r="K6" s="2">
        <v>66577</v>
      </c>
      <c r="L6" s="102">
        <v>107892</v>
      </c>
      <c r="M6" s="117">
        <v>82799</v>
      </c>
      <c r="N6" s="117">
        <v>83766</v>
      </c>
      <c r="O6" s="117">
        <v>79686</v>
      </c>
      <c r="P6" s="117">
        <v>77978</v>
      </c>
      <c r="Q6" s="117">
        <v>81133</v>
      </c>
      <c r="R6" s="1">
        <v>87179</v>
      </c>
      <c r="S6" s="1">
        <v>97775</v>
      </c>
      <c r="T6" s="1">
        <v>107799</v>
      </c>
      <c r="U6" s="1">
        <v>118424</v>
      </c>
    </row>
    <row r="7" spans="1:21" x14ac:dyDescent="0.2">
      <c r="A7" s="26" t="s">
        <v>2</v>
      </c>
      <c r="B7" s="1">
        <v>45681.39</v>
      </c>
      <c r="C7" s="1">
        <v>53518.7</v>
      </c>
      <c r="D7" s="2">
        <v>51113.18</v>
      </c>
      <c r="E7" s="2">
        <v>58531.13</v>
      </c>
      <c r="F7" s="2">
        <v>63337.23</v>
      </c>
      <c r="G7" s="2">
        <v>56198</v>
      </c>
      <c r="H7" s="2">
        <v>56729</v>
      </c>
      <c r="I7" s="2">
        <v>62240</v>
      </c>
      <c r="J7" s="2">
        <v>64153</v>
      </c>
      <c r="K7" s="2">
        <v>66218</v>
      </c>
      <c r="L7" s="106">
        <v>82729</v>
      </c>
      <c r="M7" s="117">
        <v>86247</v>
      </c>
      <c r="N7" s="117">
        <v>81563</v>
      </c>
      <c r="O7" s="117">
        <v>78320</v>
      </c>
      <c r="P7" s="117">
        <v>74261</v>
      </c>
      <c r="Q7" s="117">
        <v>74334</v>
      </c>
      <c r="R7" s="1">
        <v>86389</v>
      </c>
      <c r="S7" s="1">
        <v>90954</v>
      </c>
      <c r="T7" s="1">
        <v>102040</v>
      </c>
      <c r="U7" s="1">
        <v>112434</v>
      </c>
    </row>
    <row r="8" spans="1:21" x14ac:dyDescent="0.2">
      <c r="A8" s="26" t="s">
        <v>3</v>
      </c>
      <c r="B8" s="1">
        <v>59736.34</v>
      </c>
      <c r="C8" s="1">
        <v>65672.639999999999</v>
      </c>
      <c r="D8" s="2">
        <v>57742.67</v>
      </c>
      <c r="E8" s="2">
        <v>67750.55</v>
      </c>
      <c r="F8" s="2">
        <v>70043.12</v>
      </c>
      <c r="G8" s="2">
        <v>62144</v>
      </c>
      <c r="H8" s="2">
        <v>70224</v>
      </c>
      <c r="I8" s="2">
        <v>70612</v>
      </c>
      <c r="J8" s="2">
        <v>75468</v>
      </c>
      <c r="K8" s="2">
        <v>82977</v>
      </c>
      <c r="L8" s="106">
        <v>86463</v>
      </c>
      <c r="M8" s="117">
        <v>92518</v>
      </c>
      <c r="N8" s="117">
        <v>93551</v>
      </c>
      <c r="O8" s="117">
        <v>91146</v>
      </c>
      <c r="P8" s="117">
        <v>89394</v>
      </c>
      <c r="Q8" s="117">
        <v>90381</v>
      </c>
      <c r="R8" s="1">
        <v>106514</v>
      </c>
      <c r="S8" s="1">
        <v>125832</v>
      </c>
      <c r="T8" s="1">
        <v>122568</v>
      </c>
      <c r="U8" s="1">
        <v>140452</v>
      </c>
    </row>
    <row r="9" spans="1:21" x14ac:dyDescent="0.2">
      <c r="A9" s="26" t="s">
        <v>4</v>
      </c>
      <c r="B9" s="1">
        <v>58353</v>
      </c>
      <c r="C9" s="1">
        <v>57361.38</v>
      </c>
      <c r="D9" s="2">
        <v>57509.78</v>
      </c>
      <c r="E9" s="2">
        <v>62575.61</v>
      </c>
      <c r="F9" s="2">
        <v>63450.11</v>
      </c>
      <c r="G9" s="2">
        <v>64186</v>
      </c>
      <c r="H9" s="2">
        <v>67789</v>
      </c>
      <c r="I9" s="2">
        <v>74482</v>
      </c>
      <c r="J9" s="2">
        <v>72392</v>
      </c>
      <c r="K9" s="2">
        <v>79954</v>
      </c>
      <c r="L9" s="106">
        <v>81224</v>
      </c>
      <c r="M9" s="117">
        <v>94462</v>
      </c>
      <c r="N9" s="117">
        <v>92790</v>
      </c>
      <c r="O9" s="117">
        <v>88035</v>
      </c>
      <c r="P9" s="117">
        <v>83612</v>
      </c>
      <c r="Q9" s="117">
        <v>92461</v>
      </c>
      <c r="R9" s="1">
        <v>100084</v>
      </c>
      <c r="S9" s="1">
        <v>118924</v>
      </c>
      <c r="T9" s="1">
        <v>111908</v>
      </c>
      <c r="U9" s="1">
        <v>136135</v>
      </c>
    </row>
    <row r="10" spans="1:21" x14ac:dyDescent="0.2">
      <c r="A10" s="26" t="s">
        <v>5</v>
      </c>
      <c r="B10" s="1">
        <v>62424.58</v>
      </c>
      <c r="C10" s="1">
        <v>64176.09</v>
      </c>
      <c r="D10" s="2">
        <v>68258.69</v>
      </c>
      <c r="E10" s="2">
        <v>75972.58</v>
      </c>
      <c r="F10" s="2">
        <v>74858.509999999995</v>
      </c>
      <c r="G10" s="2">
        <v>69563</v>
      </c>
      <c r="H10" s="2">
        <v>68883</v>
      </c>
      <c r="I10" s="2">
        <v>80936</v>
      </c>
      <c r="J10" s="2">
        <v>82886</v>
      </c>
      <c r="K10" s="2">
        <v>94186</v>
      </c>
      <c r="L10" s="106">
        <v>95624</v>
      </c>
      <c r="M10" s="117">
        <v>104894</v>
      </c>
      <c r="N10" s="117">
        <v>88950</v>
      </c>
      <c r="O10" s="117">
        <v>97757</v>
      </c>
      <c r="P10" s="117">
        <v>103496</v>
      </c>
      <c r="Q10" s="117">
        <v>109303</v>
      </c>
      <c r="R10" s="1">
        <v>115570</v>
      </c>
      <c r="S10" s="1">
        <v>116908</v>
      </c>
      <c r="T10" s="1">
        <v>147487</v>
      </c>
      <c r="U10" s="1">
        <v>139342</v>
      </c>
    </row>
    <row r="11" spans="1:21" x14ac:dyDescent="0.2">
      <c r="A11" s="26" t="s">
        <v>6</v>
      </c>
      <c r="B11" s="1">
        <v>58568.32</v>
      </c>
      <c r="C11" s="1">
        <v>49737.87</v>
      </c>
      <c r="D11" s="2">
        <v>58308.14</v>
      </c>
      <c r="E11" s="2">
        <v>72750.53</v>
      </c>
      <c r="F11" s="2">
        <v>72833.7</v>
      </c>
      <c r="G11" s="2">
        <v>70023</v>
      </c>
      <c r="H11" s="2">
        <v>74114</v>
      </c>
      <c r="I11" s="2">
        <v>79272</v>
      </c>
      <c r="J11" s="2">
        <v>79026</v>
      </c>
      <c r="K11" s="2">
        <v>74588</v>
      </c>
      <c r="L11" s="106">
        <v>101681</v>
      </c>
      <c r="M11" s="117">
        <v>89594</v>
      </c>
      <c r="N11" s="117">
        <v>88284</v>
      </c>
      <c r="O11" s="117">
        <v>88047</v>
      </c>
      <c r="P11" s="117">
        <v>86114</v>
      </c>
      <c r="Q11" s="117">
        <v>100110</v>
      </c>
      <c r="R11" s="1">
        <v>92617</v>
      </c>
      <c r="S11" s="1">
        <v>130943</v>
      </c>
      <c r="T11" s="1">
        <v>131318</v>
      </c>
      <c r="U11" s="1">
        <v>148281</v>
      </c>
    </row>
    <row r="12" spans="1:21" x14ac:dyDescent="0.2">
      <c r="A12" s="26" t="s">
        <v>7</v>
      </c>
      <c r="B12" s="1">
        <v>78331</v>
      </c>
      <c r="C12" s="1">
        <v>79043.199999999997</v>
      </c>
      <c r="D12" s="2">
        <v>76004.59</v>
      </c>
      <c r="E12" s="2">
        <v>74172.509999999995</v>
      </c>
      <c r="F12" s="2">
        <v>77548.28</v>
      </c>
      <c r="G12" s="2">
        <v>73786</v>
      </c>
      <c r="H12" s="2">
        <v>79945</v>
      </c>
      <c r="I12" s="2">
        <v>77950</v>
      </c>
      <c r="J12" s="2">
        <v>84628</v>
      </c>
      <c r="K12" s="2">
        <v>107301</v>
      </c>
      <c r="L12" s="106">
        <v>100119</v>
      </c>
      <c r="M12" s="117">
        <v>112570</v>
      </c>
      <c r="N12" s="117">
        <v>114559</v>
      </c>
      <c r="O12" s="117">
        <v>104071</v>
      </c>
      <c r="P12" s="117">
        <v>115533</v>
      </c>
      <c r="Q12" s="117">
        <v>114807</v>
      </c>
      <c r="R12" s="1">
        <v>132218</v>
      </c>
      <c r="S12" s="1">
        <v>133300</v>
      </c>
      <c r="T12" s="1">
        <v>123232</v>
      </c>
      <c r="U12" s="1">
        <v>130969</v>
      </c>
    </row>
    <row r="13" spans="1:21" x14ac:dyDescent="0.2">
      <c r="A13" s="26" t="s">
        <v>8</v>
      </c>
      <c r="B13" s="1">
        <v>60133.82</v>
      </c>
      <c r="C13" s="1">
        <v>65491.42</v>
      </c>
      <c r="D13" s="2">
        <v>72672.399999999994</v>
      </c>
      <c r="E13" s="2">
        <v>71503</v>
      </c>
      <c r="F13" s="2">
        <v>73472.73</v>
      </c>
      <c r="G13" s="2">
        <v>70874</v>
      </c>
      <c r="H13" s="2">
        <v>82616</v>
      </c>
      <c r="I13" s="2">
        <v>85103</v>
      </c>
      <c r="J13" s="2">
        <v>86508</v>
      </c>
      <c r="K13" s="2">
        <v>94664</v>
      </c>
      <c r="L13" s="106">
        <v>95503</v>
      </c>
      <c r="M13" s="117">
        <v>94221</v>
      </c>
      <c r="N13" s="117">
        <v>102522</v>
      </c>
      <c r="O13" s="117">
        <v>95927</v>
      </c>
      <c r="P13" s="117">
        <v>100137</v>
      </c>
      <c r="Q13" s="117">
        <v>107156</v>
      </c>
      <c r="R13" s="2">
        <v>111359</v>
      </c>
      <c r="S13" s="1">
        <v>121809</v>
      </c>
      <c r="T13" s="1">
        <v>134103</v>
      </c>
      <c r="U13" s="1">
        <v>135208</v>
      </c>
    </row>
    <row r="14" spans="1:21" x14ac:dyDescent="0.2">
      <c r="A14" s="26" t="s">
        <v>9</v>
      </c>
      <c r="B14" s="1">
        <v>61015.61</v>
      </c>
      <c r="C14" s="1">
        <v>67879.509999999995</v>
      </c>
      <c r="D14" s="2">
        <v>75709.710000000006</v>
      </c>
      <c r="E14" s="2">
        <f>77693.27+10</f>
        <v>77703.27</v>
      </c>
      <c r="F14" s="2">
        <f>74153+67.91</f>
        <v>74220.91</v>
      </c>
      <c r="G14" s="2">
        <v>73410</v>
      </c>
      <c r="H14" s="2">
        <v>90017</v>
      </c>
      <c r="I14" s="2">
        <v>82878</v>
      </c>
      <c r="J14" s="2">
        <v>84337</v>
      </c>
      <c r="K14" s="2">
        <v>93841</v>
      </c>
      <c r="L14" s="106">
        <v>97286</v>
      </c>
      <c r="M14" s="117">
        <v>94564</v>
      </c>
      <c r="N14" s="117">
        <v>91874</v>
      </c>
      <c r="O14" s="117">
        <v>95804</v>
      </c>
      <c r="P14" s="117">
        <v>94873</v>
      </c>
      <c r="Q14" s="117">
        <v>108355</v>
      </c>
      <c r="R14" s="1">
        <v>110919</v>
      </c>
      <c r="S14" s="1">
        <v>125221</v>
      </c>
      <c r="T14" s="1">
        <v>134480</v>
      </c>
      <c r="U14" s="1">
        <v>133760</v>
      </c>
    </row>
    <row r="15" spans="1:21" x14ac:dyDescent="0.2">
      <c r="A15" s="26" t="s">
        <v>10</v>
      </c>
      <c r="B15" s="53">
        <v>57413</v>
      </c>
      <c r="C15" s="53">
        <v>59974</v>
      </c>
      <c r="D15" s="2">
        <f>61702.14+111</f>
        <v>61813.14</v>
      </c>
      <c r="E15" s="2">
        <v>68645.240000000005</v>
      </c>
      <c r="F15" s="2"/>
      <c r="G15" s="2">
        <v>70457</v>
      </c>
      <c r="H15" s="2">
        <v>76140</v>
      </c>
      <c r="I15" s="2">
        <v>76240</v>
      </c>
      <c r="J15" s="2">
        <v>78979</v>
      </c>
      <c r="K15" s="2">
        <v>95303</v>
      </c>
      <c r="L15" s="106">
        <v>94970</v>
      </c>
      <c r="M15" s="117">
        <v>97930</v>
      </c>
      <c r="N15" s="117">
        <v>98166</v>
      </c>
      <c r="O15" s="117">
        <v>94185</v>
      </c>
      <c r="P15" s="117">
        <v>95883</v>
      </c>
      <c r="Q15" s="117">
        <v>103246</v>
      </c>
      <c r="R15" s="1">
        <v>106176</v>
      </c>
      <c r="S15" s="1">
        <v>122052</v>
      </c>
      <c r="T15" s="1">
        <v>141334</v>
      </c>
      <c r="U15" s="1">
        <v>127153</v>
      </c>
    </row>
    <row r="16" spans="1:21" x14ac:dyDescent="0.2">
      <c r="A16" s="26" t="s">
        <v>11</v>
      </c>
      <c r="B16" s="39">
        <v>54588</v>
      </c>
      <c r="C16" s="39">
        <v>59581.01</v>
      </c>
      <c r="D16" s="39">
        <f>65644.7-1476</f>
        <v>64168.7</v>
      </c>
      <c r="E16" s="40">
        <v>71719.210000000006</v>
      </c>
      <c r="F16" s="40">
        <v>129797</v>
      </c>
      <c r="G16" s="40">
        <v>67284</v>
      </c>
      <c r="H16" s="40">
        <v>76502</v>
      </c>
      <c r="I16" s="40">
        <v>74062</v>
      </c>
      <c r="J16" s="40">
        <v>78108</v>
      </c>
      <c r="K16" s="40">
        <v>135900</v>
      </c>
      <c r="L16" s="95">
        <v>93310</v>
      </c>
      <c r="M16" s="95">
        <v>98104</v>
      </c>
      <c r="N16" s="95">
        <v>92900</v>
      </c>
      <c r="O16" s="95">
        <v>89426</v>
      </c>
      <c r="P16" s="95">
        <v>102613</v>
      </c>
      <c r="Q16" s="95">
        <v>98700</v>
      </c>
      <c r="R16" s="1">
        <v>107555</v>
      </c>
      <c r="S16" s="1">
        <v>109387</v>
      </c>
      <c r="T16" s="1">
        <v>135424</v>
      </c>
      <c r="U16" s="1">
        <v>131102</v>
      </c>
    </row>
    <row r="17" spans="1:21" x14ac:dyDescent="0.2">
      <c r="A17" s="25"/>
      <c r="B17" s="46">
        <f t="shared" ref="B17:H17" si="0">SUM(B5:B16)</f>
        <v>722714.49</v>
      </c>
      <c r="C17" s="46">
        <f t="shared" si="0"/>
        <v>753178</v>
      </c>
      <c r="D17" s="41">
        <f t="shared" si="0"/>
        <v>779859.74</v>
      </c>
      <c r="E17" s="41">
        <f t="shared" si="0"/>
        <v>845935.09</v>
      </c>
      <c r="F17" s="41">
        <f t="shared" si="0"/>
        <v>851133.16</v>
      </c>
      <c r="G17" s="41">
        <f t="shared" si="0"/>
        <v>828815</v>
      </c>
      <c r="H17" s="41">
        <f t="shared" si="0"/>
        <v>892557</v>
      </c>
      <c r="I17" s="44">
        <f t="shared" ref="I17:N17" si="1">SUM(I5:I16)</f>
        <v>916134</v>
      </c>
      <c r="J17" s="44">
        <f t="shared" si="1"/>
        <v>939549</v>
      </c>
      <c r="K17" s="44">
        <f t="shared" si="1"/>
        <v>1088974</v>
      </c>
      <c r="L17" s="96">
        <f t="shared" si="1"/>
        <v>1186156</v>
      </c>
      <c r="M17" s="96">
        <f t="shared" si="1"/>
        <v>1148240</v>
      </c>
      <c r="N17" s="96">
        <f t="shared" si="1"/>
        <v>1142378</v>
      </c>
      <c r="O17" s="96">
        <f t="shared" ref="O17:P17" si="2">SUM(O5:O16)</f>
        <v>1111804</v>
      </c>
      <c r="P17" s="96">
        <f t="shared" si="2"/>
        <v>1127069</v>
      </c>
      <c r="Q17" s="96">
        <f t="shared" ref="Q17:S17" si="3">SUM(Q5:Q16)</f>
        <v>1182661</v>
      </c>
      <c r="R17" s="126">
        <f t="shared" ref="R17" si="4">SUM(R5:R16)</f>
        <v>1270760</v>
      </c>
      <c r="S17" s="126">
        <f t="shared" si="3"/>
        <v>1406239</v>
      </c>
      <c r="T17" s="126">
        <f t="shared" ref="T17:U17" si="5">SUM(T5:T16)</f>
        <v>1526489</v>
      </c>
      <c r="U17" s="126">
        <f t="shared" si="5"/>
        <v>1597696</v>
      </c>
    </row>
    <row r="18" spans="1:21" x14ac:dyDescent="0.2">
      <c r="A18" s="25"/>
      <c r="L18" s="94"/>
    </row>
    <row r="19" spans="1:21" x14ac:dyDescent="0.2">
      <c r="A19" s="25"/>
      <c r="F19" s="35" t="s">
        <v>110</v>
      </c>
      <c r="L19" s="94"/>
    </row>
    <row r="20" spans="1:21" x14ac:dyDescent="0.2">
      <c r="F20" s="35" t="s">
        <v>111</v>
      </c>
      <c r="L20" s="94"/>
    </row>
    <row r="21" spans="1:21" x14ac:dyDescent="0.2">
      <c r="A21" s="24" t="s">
        <v>35</v>
      </c>
      <c r="B21" s="148">
        <v>5.0000000000000001E-3</v>
      </c>
      <c r="C21" s="94" t="s">
        <v>192</v>
      </c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</row>
    <row r="24" spans="1:21" x14ac:dyDescent="0.2">
      <c r="A24" s="26" t="s">
        <v>0</v>
      </c>
      <c r="B24" s="1">
        <v>5120</v>
      </c>
      <c r="C24" s="1">
        <v>6600.37</v>
      </c>
      <c r="D24" s="2">
        <v>8113</v>
      </c>
      <c r="E24" s="2">
        <v>8369.82</v>
      </c>
      <c r="F24" s="2">
        <v>9485</v>
      </c>
      <c r="G24" s="2">
        <v>3896</v>
      </c>
      <c r="H24" s="2">
        <v>11348</v>
      </c>
      <c r="I24" s="2">
        <v>14093</v>
      </c>
      <c r="J24" s="2">
        <v>11091</v>
      </c>
      <c r="K24" s="2">
        <v>10127</v>
      </c>
      <c r="L24" s="102">
        <v>23460</v>
      </c>
      <c r="M24" s="117">
        <v>13243</v>
      </c>
      <c r="N24" s="117">
        <v>5682</v>
      </c>
      <c r="O24" s="117">
        <v>8913</v>
      </c>
      <c r="P24" s="117">
        <v>5438</v>
      </c>
      <c r="Q24" s="117">
        <v>6016</v>
      </c>
      <c r="R24" s="1">
        <v>8332</v>
      </c>
      <c r="S24" s="1">
        <v>5039</v>
      </c>
      <c r="T24" s="1">
        <v>5241</v>
      </c>
      <c r="U24" s="1">
        <v>6361</v>
      </c>
    </row>
    <row r="25" spans="1:21" x14ac:dyDescent="0.2">
      <c r="A25" s="26" t="s">
        <v>1</v>
      </c>
      <c r="B25" s="1">
        <v>3806</v>
      </c>
      <c r="C25" s="1">
        <v>4338</v>
      </c>
      <c r="D25" s="2">
        <v>10455.68</v>
      </c>
      <c r="E25" s="2">
        <v>4453</v>
      </c>
      <c r="F25" s="2">
        <v>5436.86</v>
      </c>
      <c r="G25" s="2">
        <v>6897</v>
      </c>
      <c r="H25" s="2">
        <v>3072</v>
      </c>
      <c r="I25" s="2">
        <v>4772</v>
      </c>
      <c r="J25" s="2">
        <v>8347</v>
      </c>
      <c r="K25" s="2">
        <v>10947</v>
      </c>
      <c r="L25" s="102">
        <v>12684</v>
      </c>
      <c r="M25" s="117">
        <v>-18803</v>
      </c>
      <c r="N25" s="117">
        <v>3340</v>
      </c>
      <c r="O25" s="117">
        <v>4128</v>
      </c>
      <c r="P25" s="117">
        <v>-3913</v>
      </c>
      <c r="Q25" s="117">
        <v>6101</v>
      </c>
      <c r="R25" s="1">
        <v>15592</v>
      </c>
      <c r="S25" s="1">
        <v>1166</v>
      </c>
      <c r="T25" s="1">
        <v>4987</v>
      </c>
      <c r="U25" s="1">
        <v>8192</v>
      </c>
    </row>
    <row r="26" spans="1:21" x14ac:dyDescent="0.2">
      <c r="A26" s="26" t="s">
        <v>2</v>
      </c>
      <c r="B26" s="1">
        <v>4103.59</v>
      </c>
      <c r="C26" s="1">
        <v>7443.72</v>
      </c>
      <c r="D26" s="2">
        <v>13837.1</v>
      </c>
      <c r="E26" s="2">
        <v>5828.06</v>
      </c>
      <c r="F26" s="2">
        <v>6513.33</v>
      </c>
      <c r="G26" s="2">
        <v>9233</v>
      </c>
      <c r="H26" s="2">
        <v>29017</v>
      </c>
      <c r="I26" s="2">
        <v>6314</v>
      </c>
      <c r="J26" s="2">
        <v>7077</v>
      </c>
      <c r="K26" s="2">
        <v>16983</v>
      </c>
      <c r="L26" s="102">
        <v>17770</v>
      </c>
      <c r="M26" s="117">
        <v>8706</v>
      </c>
      <c r="N26" s="117">
        <v>9302</v>
      </c>
      <c r="O26" s="117">
        <v>4151</v>
      </c>
      <c r="P26" s="117">
        <v>3156</v>
      </c>
      <c r="Q26" s="117">
        <v>-2546</v>
      </c>
      <c r="R26" s="113">
        <v>3403</v>
      </c>
      <c r="S26" s="1">
        <v>-5789</v>
      </c>
      <c r="T26" s="1">
        <v>3875</v>
      </c>
      <c r="U26" s="1">
        <v>4858</v>
      </c>
    </row>
    <row r="27" spans="1:21" x14ac:dyDescent="0.2">
      <c r="A27" s="26" t="s">
        <v>3</v>
      </c>
      <c r="B27" s="1">
        <v>4749.8900000000003</v>
      </c>
      <c r="C27" s="1">
        <v>10292.44</v>
      </c>
      <c r="D27" s="2">
        <v>2979.49</v>
      </c>
      <c r="E27" s="2">
        <v>7484.5</v>
      </c>
      <c r="F27" s="2">
        <v>7620.32</v>
      </c>
      <c r="G27" s="2">
        <v>9576</v>
      </c>
      <c r="H27" s="2">
        <v>6056</v>
      </c>
      <c r="I27" s="2">
        <v>9020</v>
      </c>
      <c r="J27" s="2">
        <v>12303</v>
      </c>
      <c r="K27" s="2">
        <v>9993</v>
      </c>
      <c r="L27" s="102">
        <v>18841</v>
      </c>
      <c r="M27" s="117">
        <v>4792</v>
      </c>
      <c r="N27" s="117">
        <v>5121</v>
      </c>
      <c r="O27" s="117">
        <v>5501</v>
      </c>
      <c r="P27" s="117">
        <v>4257</v>
      </c>
      <c r="Q27" s="117">
        <v>4645</v>
      </c>
      <c r="R27" s="117">
        <v>-1352</v>
      </c>
      <c r="S27" s="1">
        <v>5326</v>
      </c>
      <c r="T27" s="1">
        <v>7508</v>
      </c>
      <c r="U27" s="1">
        <v>6567</v>
      </c>
    </row>
    <row r="28" spans="1:21" x14ac:dyDescent="0.2">
      <c r="A28" s="26" t="s">
        <v>4</v>
      </c>
      <c r="B28" s="1">
        <v>7889.63</v>
      </c>
      <c r="C28" s="1">
        <v>7125</v>
      </c>
      <c r="D28" s="2">
        <v>4389</v>
      </c>
      <c r="E28" s="2">
        <v>12743</v>
      </c>
      <c r="F28" s="2">
        <v>7219.37</v>
      </c>
      <c r="G28" s="2">
        <v>5445</v>
      </c>
      <c r="H28" s="2">
        <v>4564</v>
      </c>
      <c r="I28" s="2">
        <v>8793</v>
      </c>
      <c r="J28" s="2">
        <v>12306</v>
      </c>
      <c r="K28" s="2">
        <v>5507</v>
      </c>
      <c r="L28" s="102">
        <v>11938</v>
      </c>
      <c r="M28" s="117">
        <v>13067</v>
      </c>
      <c r="N28" s="117">
        <v>4883</v>
      </c>
      <c r="O28" s="117">
        <v>4845</v>
      </c>
      <c r="P28" s="117">
        <v>3272</v>
      </c>
      <c r="Q28" s="117">
        <v>6298</v>
      </c>
      <c r="R28" s="1">
        <v>7780</v>
      </c>
      <c r="S28" s="1">
        <v>5790</v>
      </c>
      <c r="T28" s="1">
        <v>7434</v>
      </c>
      <c r="U28" s="1">
        <v>10991</v>
      </c>
    </row>
    <row r="29" spans="1:21" x14ac:dyDescent="0.2">
      <c r="A29" s="26" t="s">
        <v>5</v>
      </c>
      <c r="B29" s="1">
        <v>5814.43</v>
      </c>
      <c r="C29" s="1">
        <v>7549</v>
      </c>
      <c r="D29" s="2">
        <v>10753.07</v>
      </c>
      <c r="E29" s="2">
        <v>7565.31</v>
      </c>
      <c r="F29" s="2">
        <v>7090.24</v>
      </c>
      <c r="G29" s="2">
        <v>15800</v>
      </c>
      <c r="H29" s="2">
        <v>4883</v>
      </c>
      <c r="I29" s="2">
        <v>5783</v>
      </c>
      <c r="J29" s="2">
        <v>7624</v>
      </c>
      <c r="K29" s="2">
        <v>9975</v>
      </c>
      <c r="L29" s="102">
        <v>13743</v>
      </c>
      <c r="M29" s="117">
        <v>7695</v>
      </c>
      <c r="N29" s="117">
        <v>6415</v>
      </c>
      <c r="O29" s="117">
        <v>5620</v>
      </c>
      <c r="P29" s="117">
        <v>3634</v>
      </c>
      <c r="Q29" s="117">
        <v>6650</v>
      </c>
      <c r="R29" s="1">
        <v>3444</v>
      </c>
      <c r="S29" s="1">
        <v>6384</v>
      </c>
      <c r="T29" s="1">
        <v>5742</v>
      </c>
      <c r="U29" s="1">
        <v>7907</v>
      </c>
    </row>
    <row r="30" spans="1:21" x14ac:dyDescent="0.2">
      <c r="A30" s="26" t="s">
        <v>6</v>
      </c>
      <c r="B30" s="1">
        <v>5304.5</v>
      </c>
      <c r="C30" s="1">
        <v>8225</v>
      </c>
      <c r="D30" s="2">
        <v>7380.18</v>
      </c>
      <c r="E30" s="2">
        <v>5905.61</v>
      </c>
      <c r="F30" s="2">
        <v>6672.85</v>
      </c>
      <c r="G30" s="2">
        <v>6109</v>
      </c>
      <c r="H30" s="2">
        <v>6164</v>
      </c>
      <c r="I30" s="2">
        <v>7709</v>
      </c>
      <c r="J30" s="2">
        <v>5234</v>
      </c>
      <c r="K30" s="2">
        <v>9851</v>
      </c>
      <c r="L30" s="102">
        <v>7691</v>
      </c>
      <c r="M30" s="117">
        <v>6004</v>
      </c>
      <c r="N30" s="117">
        <v>-19694</v>
      </c>
      <c r="O30" s="117">
        <v>8846</v>
      </c>
      <c r="P30" s="117">
        <v>8901</v>
      </c>
      <c r="Q30" s="117">
        <v>6195</v>
      </c>
      <c r="R30" s="1">
        <v>1270</v>
      </c>
      <c r="S30" s="1">
        <v>9398</v>
      </c>
      <c r="T30" s="1">
        <v>10245</v>
      </c>
      <c r="U30" s="1">
        <v>10155</v>
      </c>
    </row>
    <row r="31" spans="1:21" x14ac:dyDescent="0.2">
      <c r="A31" s="26" t="s">
        <v>7</v>
      </c>
      <c r="B31" s="1">
        <v>6110</v>
      </c>
      <c r="C31" s="1">
        <v>9883.06</v>
      </c>
      <c r="D31" s="2">
        <v>12149.56</v>
      </c>
      <c r="E31" s="2">
        <v>8120.28</v>
      </c>
      <c r="F31" s="2">
        <v>6562</v>
      </c>
      <c r="G31" s="2">
        <v>33710</v>
      </c>
      <c r="H31" s="2">
        <v>7164</v>
      </c>
      <c r="I31" s="2">
        <v>9066</v>
      </c>
      <c r="J31" s="2">
        <v>17608</v>
      </c>
      <c r="K31" s="2">
        <v>13740</v>
      </c>
      <c r="L31" s="102">
        <v>19697</v>
      </c>
      <c r="M31" s="117">
        <v>10123</v>
      </c>
      <c r="N31" s="117">
        <v>6070</v>
      </c>
      <c r="O31" s="117">
        <v>4932</v>
      </c>
      <c r="P31" s="117">
        <v>2990</v>
      </c>
      <c r="Q31" s="117">
        <v>7315</v>
      </c>
      <c r="R31" s="1">
        <v>5465</v>
      </c>
      <c r="S31" s="1">
        <v>5690</v>
      </c>
      <c r="T31" s="1">
        <v>5661</v>
      </c>
      <c r="U31" s="1">
        <v>7349</v>
      </c>
    </row>
    <row r="32" spans="1:21" x14ac:dyDescent="0.2">
      <c r="A32" s="26" t="s">
        <v>8</v>
      </c>
      <c r="B32" s="1">
        <v>4855</v>
      </c>
      <c r="C32" s="1">
        <v>5929.69</v>
      </c>
      <c r="D32" s="2">
        <v>6687</v>
      </c>
      <c r="E32" s="2">
        <v>7198</v>
      </c>
      <c r="F32" s="2">
        <v>6747.63</v>
      </c>
      <c r="G32" s="2">
        <v>4437</v>
      </c>
      <c r="H32" s="2">
        <v>6309</v>
      </c>
      <c r="I32" s="2">
        <v>10388</v>
      </c>
      <c r="J32" s="2">
        <v>11092</v>
      </c>
      <c r="K32" s="2">
        <v>15093</v>
      </c>
      <c r="L32" s="102">
        <v>9086</v>
      </c>
      <c r="M32" s="117">
        <v>5244</v>
      </c>
      <c r="N32" s="117">
        <v>5287</v>
      </c>
      <c r="O32" s="117">
        <v>6016</v>
      </c>
      <c r="P32" s="117">
        <v>5387</v>
      </c>
      <c r="Q32" s="117">
        <v>7525</v>
      </c>
      <c r="R32" s="2">
        <v>7356</v>
      </c>
      <c r="S32" s="1">
        <v>12849</v>
      </c>
      <c r="T32" s="1">
        <v>13505</v>
      </c>
      <c r="U32" s="1">
        <v>8196</v>
      </c>
    </row>
    <row r="33" spans="1:21" x14ac:dyDescent="0.2">
      <c r="A33" s="26" t="s">
        <v>9</v>
      </c>
      <c r="B33" s="1">
        <v>5194</v>
      </c>
      <c r="C33" s="1">
        <v>8696.74</v>
      </c>
      <c r="D33" s="2">
        <v>11403.1</v>
      </c>
      <c r="E33" s="2">
        <f>8885.38+2</f>
        <v>8887.3799999999992</v>
      </c>
      <c r="F33" s="2">
        <v>6113</v>
      </c>
      <c r="G33" s="2">
        <v>5628</v>
      </c>
      <c r="H33" s="2">
        <v>5667</v>
      </c>
      <c r="I33" s="2">
        <v>11677</v>
      </c>
      <c r="J33" s="2">
        <v>11717</v>
      </c>
      <c r="K33" s="2">
        <v>13339</v>
      </c>
      <c r="L33" s="102">
        <v>10798</v>
      </c>
      <c r="M33" s="117">
        <v>7003</v>
      </c>
      <c r="N33" s="117">
        <v>5482</v>
      </c>
      <c r="O33" s="117">
        <v>5010</v>
      </c>
      <c r="P33" s="117">
        <v>6050</v>
      </c>
      <c r="Q33" s="117">
        <v>5426</v>
      </c>
      <c r="R33" s="1">
        <v>4900</v>
      </c>
      <c r="S33" s="1">
        <v>8226</v>
      </c>
      <c r="T33" s="1">
        <v>7879</v>
      </c>
      <c r="U33" s="1">
        <v>6639</v>
      </c>
    </row>
    <row r="34" spans="1:21" x14ac:dyDescent="0.2">
      <c r="A34" s="26" t="s">
        <v>10</v>
      </c>
      <c r="B34" s="53">
        <v>8107.04</v>
      </c>
      <c r="C34" s="53">
        <v>7001</v>
      </c>
      <c r="D34" s="2">
        <v>7810.99</v>
      </c>
      <c r="E34" s="2">
        <v>9048.2999999999993</v>
      </c>
      <c r="F34" s="2"/>
      <c r="G34" s="2">
        <v>4763</v>
      </c>
      <c r="H34" s="2">
        <v>6170</v>
      </c>
      <c r="I34" s="2">
        <v>6901</v>
      </c>
      <c r="J34" s="2">
        <v>7924</v>
      </c>
      <c r="K34" s="2">
        <v>9506</v>
      </c>
      <c r="L34" s="102">
        <v>11262</v>
      </c>
      <c r="M34" s="117">
        <v>5141</v>
      </c>
      <c r="N34" s="117">
        <v>4396</v>
      </c>
      <c r="O34" s="117">
        <v>5496</v>
      </c>
      <c r="P34" s="117">
        <v>-289</v>
      </c>
      <c r="Q34" s="117">
        <v>8604</v>
      </c>
      <c r="R34" s="1">
        <v>6587</v>
      </c>
      <c r="S34" s="1">
        <v>8869</v>
      </c>
      <c r="T34" s="1">
        <v>7297</v>
      </c>
      <c r="U34" s="1">
        <v>6963</v>
      </c>
    </row>
    <row r="35" spans="1:21" x14ac:dyDescent="0.2">
      <c r="A35" s="26" t="s">
        <v>11</v>
      </c>
      <c r="B35" s="39">
        <v>4010</v>
      </c>
      <c r="C35" s="39">
        <v>6938.57</v>
      </c>
      <c r="D35" s="39">
        <f>9694.01+1476</f>
        <v>11170.01</v>
      </c>
      <c r="E35" s="39">
        <v>7886.25</v>
      </c>
      <c r="F35" s="39">
        <v>12925</v>
      </c>
      <c r="G35" s="40">
        <v>5448</v>
      </c>
      <c r="H35" s="40">
        <v>10692</v>
      </c>
      <c r="I35" s="40">
        <v>12230</v>
      </c>
      <c r="J35" s="40">
        <v>11016</v>
      </c>
      <c r="K35" s="40">
        <v>19208</v>
      </c>
      <c r="L35" s="95">
        <v>12162</v>
      </c>
      <c r="M35" s="95">
        <v>4747</v>
      </c>
      <c r="N35" s="95">
        <v>4656</v>
      </c>
      <c r="O35" s="95">
        <v>4027</v>
      </c>
      <c r="P35" s="95">
        <v>3739</v>
      </c>
      <c r="Q35" s="95">
        <v>5861</v>
      </c>
      <c r="R35" s="1">
        <v>5616</v>
      </c>
      <c r="S35" s="1">
        <v>6481</v>
      </c>
      <c r="T35" s="1">
        <v>8539</v>
      </c>
      <c r="U35" s="1">
        <v>6292</v>
      </c>
    </row>
    <row r="36" spans="1:21" x14ac:dyDescent="0.2">
      <c r="A36" s="25"/>
      <c r="B36" s="46">
        <f t="shared" ref="B36:H36" si="6">SUM(B24:B35)</f>
        <v>65064.08</v>
      </c>
      <c r="C36" s="46">
        <f t="shared" si="6"/>
        <v>90022.59</v>
      </c>
      <c r="D36" s="41">
        <f t="shared" si="6"/>
        <v>107128.18000000001</v>
      </c>
      <c r="E36" s="41">
        <f t="shared" si="6"/>
        <v>93489.510000000009</v>
      </c>
      <c r="F36" s="41">
        <f t="shared" si="6"/>
        <v>82385.600000000006</v>
      </c>
      <c r="G36" s="41">
        <f t="shared" si="6"/>
        <v>110942</v>
      </c>
      <c r="H36" s="41">
        <f t="shared" si="6"/>
        <v>101106</v>
      </c>
      <c r="I36" s="44">
        <f t="shared" ref="I36:O36" si="7">SUM(I24:I35)</f>
        <v>106746</v>
      </c>
      <c r="J36" s="44">
        <f t="shared" si="7"/>
        <v>123339</v>
      </c>
      <c r="K36" s="44">
        <f t="shared" si="7"/>
        <v>144269</v>
      </c>
      <c r="L36" s="96">
        <f t="shared" si="7"/>
        <v>169132</v>
      </c>
      <c r="M36" s="96">
        <f t="shared" si="7"/>
        <v>66962</v>
      </c>
      <c r="N36" s="96">
        <f t="shared" si="7"/>
        <v>40940</v>
      </c>
      <c r="O36" s="96">
        <f t="shared" si="7"/>
        <v>67485</v>
      </c>
      <c r="P36" s="96">
        <f t="shared" ref="P36:Q36" si="8">SUM(P24:P35)</f>
        <v>42622</v>
      </c>
      <c r="Q36" s="96">
        <f t="shared" si="8"/>
        <v>68090</v>
      </c>
      <c r="R36" s="126">
        <f t="shared" ref="R36:S36" si="9">SUM(R24:R35)</f>
        <v>68393</v>
      </c>
      <c r="S36" s="126">
        <f t="shared" si="9"/>
        <v>69429</v>
      </c>
      <c r="T36" s="126">
        <f t="shared" ref="T36:U36" si="10">SUM(T24:T35)</f>
        <v>87913</v>
      </c>
      <c r="U36" s="126">
        <f t="shared" si="10"/>
        <v>90470</v>
      </c>
    </row>
    <row r="37" spans="1:21" x14ac:dyDescent="0.2">
      <c r="A37" s="25"/>
      <c r="L37" s="94"/>
    </row>
    <row r="38" spans="1:21" x14ac:dyDescent="0.2">
      <c r="A38" s="25"/>
    </row>
    <row r="39" spans="1:21" x14ac:dyDescent="0.2">
      <c r="A39" s="29" t="s">
        <v>255</v>
      </c>
      <c r="E39" s="42"/>
      <c r="F39" s="42"/>
      <c r="Q39" s="86"/>
      <c r="R39" s="86"/>
      <c r="S39" s="86"/>
      <c r="T39" s="86"/>
      <c r="U39" s="86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-90</v>
      </c>
      <c r="H42" s="2">
        <v>-12034</v>
      </c>
      <c r="I42" s="2">
        <v>-13</v>
      </c>
      <c r="J42" s="2">
        <v>-8017</v>
      </c>
      <c r="K42" s="2">
        <v>-11336</v>
      </c>
      <c r="L42" s="2">
        <v>-2</v>
      </c>
      <c r="M42" s="2">
        <v>0</v>
      </c>
      <c r="N42" s="2">
        <v>0</v>
      </c>
      <c r="O42" s="117">
        <v>0</v>
      </c>
      <c r="P42" s="117">
        <v>-2563</v>
      </c>
      <c r="Q42" s="117">
        <v>0</v>
      </c>
      <c r="R42" s="117">
        <v>0</v>
      </c>
      <c r="S42" s="117">
        <v>-425</v>
      </c>
      <c r="T42" s="1">
        <v>-4447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-1597</v>
      </c>
      <c r="H43" s="2">
        <v>0</v>
      </c>
      <c r="I43" s="2">
        <v>-9200</v>
      </c>
      <c r="J43" s="2">
        <v>-551</v>
      </c>
      <c r="K43" s="2">
        <v>-18707</v>
      </c>
      <c r="L43" s="2">
        <v>-1879</v>
      </c>
      <c r="M43" s="2">
        <v>-2040</v>
      </c>
      <c r="N43" s="2">
        <v>-248</v>
      </c>
      <c r="O43" s="117">
        <v>0</v>
      </c>
      <c r="P43" s="117">
        <v>-19152</v>
      </c>
      <c r="Q43" s="117">
        <v>-27</v>
      </c>
      <c r="R43" s="1">
        <v>-662</v>
      </c>
      <c r="S43" s="1">
        <v>-1001</v>
      </c>
      <c r="T43" s="1">
        <v>-45</v>
      </c>
      <c r="U43" s="1">
        <v>-432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-36840</v>
      </c>
      <c r="H44" s="2">
        <v>-8135</v>
      </c>
      <c r="I44" s="2">
        <v>-32</v>
      </c>
      <c r="J44" s="2">
        <v>-15</v>
      </c>
      <c r="K44" s="2">
        <v>0</v>
      </c>
      <c r="L44" s="2">
        <v>-3478</v>
      </c>
      <c r="M44" s="2">
        <v>-1844</v>
      </c>
      <c r="N44" s="2">
        <v>-16991</v>
      </c>
      <c r="O44" s="117">
        <v>-11</v>
      </c>
      <c r="P44" s="117">
        <v>-2805</v>
      </c>
      <c r="Q44" s="117">
        <v>-15329</v>
      </c>
      <c r="R44" s="113">
        <v>-7112</v>
      </c>
      <c r="S44" s="117">
        <v>-84</v>
      </c>
      <c r="T44" s="117">
        <v>-288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-183</v>
      </c>
      <c r="H45" s="2">
        <v>0</v>
      </c>
      <c r="I45" s="2">
        <v>0</v>
      </c>
      <c r="J45" s="2">
        <v>-6115</v>
      </c>
      <c r="K45" s="2">
        <v>-1828</v>
      </c>
      <c r="L45" s="2">
        <v>-303</v>
      </c>
      <c r="M45" s="2">
        <v>-258</v>
      </c>
      <c r="N45" s="2">
        <v>-307</v>
      </c>
      <c r="O45" s="117">
        <v>-2</v>
      </c>
      <c r="P45" s="117">
        <v>-778</v>
      </c>
      <c r="Q45" s="117">
        <v>-3542</v>
      </c>
      <c r="R45" s="117">
        <v>198</v>
      </c>
      <c r="S45" s="117">
        <v>0</v>
      </c>
      <c r="T45" s="117">
        <v>0</v>
      </c>
      <c r="U45" s="117">
        <v>-223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-1</v>
      </c>
      <c r="H46" s="2">
        <v>-1</v>
      </c>
      <c r="I46" s="2">
        <v>0</v>
      </c>
      <c r="J46" s="2">
        <v>0</v>
      </c>
      <c r="K46" s="2">
        <v>-951</v>
      </c>
      <c r="L46" s="2">
        <v>-678</v>
      </c>
      <c r="M46" s="2">
        <v>-2136</v>
      </c>
      <c r="N46" s="2">
        <v>-1</v>
      </c>
      <c r="O46" s="117">
        <v>0</v>
      </c>
      <c r="P46" s="117">
        <v>0</v>
      </c>
      <c r="Q46" s="117">
        <v>-6575</v>
      </c>
      <c r="R46" s="1">
        <v>-139</v>
      </c>
      <c r="S46" s="117">
        <v>0</v>
      </c>
      <c r="T46" s="117">
        <v>0</v>
      </c>
      <c r="U46" s="117">
        <v>-3326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-869</v>
      </c>
      <c r="I47" s="2">
        <v>-15519</v>
      </c>
      <c r="J47" s="2">
        <v>-27</v>
      </c>
      <c r="K47" s="2">
        <v>-12</v>
      </c>
      <c r="L47" s="2">
        <v>-4</v>
      </c>
      <c r="M47" s="2">
        <v>-12995</v>
      </c>
      <c r="N47" s="2">
        <v>-908</v>
      </c>
      <c r="O47" s="117">
        <v>-1515</v>
      </c>
      <c r="P47" s="117">
        <v>-424</v>
      </c>
      <c r="Q47" s="117">
        <v>0</v>
      </c>
      <c r="R47" s="1">
        <v>-8425</v>
      </c>
      <c r="S47" s="117">
        <v>-39</v>
      </c>
      <c r="T47" s="117">
        <v>-843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-119</v>
      </c>
      <c r="H48" s="2">
        <v>0</v>
      </c>
      <c r="I48" s="2">
        <v>-1110</v>
      </c>
      <c r="J48" s="2">
        <v>-31</v>
      </c>
      <c r="K48" s="2">
        <v>-86</v>
      </c>
      <c r="L48" s="2">
        <v>-14</v>
      </c>
      <c r="M48" s="2">
        <v>-23</v>
      </c>
      <c r="N48" s="2">
        <v>-79601</v>
      </c>
      <c r="O48" s="117">
        <v>-368</v>
      </c>
      <c r="P48" s="117">
        <v>0</v>
      </c>
      <c r="Q48" s="117">
        <v>0</v>
      </c>
      <c r="R48" s="1">
        <v>-1</v>
      </c>
      <c r="S48" s="117">
        <v>-90</v>
      </c>
      <c r="T48" s="117">
        <v>-8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-27530</v>
      </c>
      <c r="H49" s="2">
        <v>0</v>
      </c>
      <c r="I49" s="2">
        <v>-13781</v>
      </c>
      <c r="J49" s="2">
        <v>-331</v>
      </c>
      <c r="K49" s="2">
        <v>-446</v>
      </c>
      <c r="L49" s="2">
        <v>-131</v>
      </c>
      <c r="M49" s="2">
        <v>-3811</v>
      </c>
      <c r="N49" s="2">
        <v>0</v>
      </c>
      <c r="O49" s="117">
        <v>-18</v>
      </c>
      <c r="P49" s="117">
        <v>-9699</v>
      </c>
      <c r="Q49" s="117">
        <v>0</v>
      </c>
      <c r="R49" s="117">
        <v>-21</v>
      </c>
      <c r="S49" s="117">
        <v>0</v>
      </c>
      <c r="T49" s="117">
        <v>-151</v>
      </c>
      <c r="U49" s="117">
        <v>-197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-1576</v>
      </c>
      <c r="J50" s="2">
        <v>-18474</v>
      </c>
      <c r="K50" s="2">
        <v>-2682</v>
      </c>
      <c r="L50" s="2">
        <v>0</v>
      </c>
      <c r="M50" s="2">
        <v>-38154</v>
      </c>
      <c r="N50" s="2">
        <v>-1903</v>
      </c>
      <c r="O50" s="117">
        <v>0</v>
      </c>
      <c r="P50" s="117">
        <v>0</v>
      </c>
      <c r="Q50" s="117">
        <v>0</v>
      </c>
      <c r="R50" s="2">
        <v>-1070</v>
      </c>
      <c r="S50" s="1">
        <v>-9956</v>
      </c>
      <c r="T50" s="1">
        <v>0</v>
      </c>
      <c r="U50" s="1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-173</v>
      </c>
      <c r="H51" s="2">
        <v>-3</v>
      </c>
      <c r="I51" s="2">
        <v>-4</v>
      </c>
      <c r="J51" s="2">
        <v>-6</v>
      </c>
      <c r="K51" s="2">
        <v>44</v>
      </c>
      <c r="L51" s="2">
        <v>-682</v>
      </c>
      <c r="M51" s="2">
        <v>-9</v>
      </c>
      <c r="N51" s="2">
        <v>-146</v>
      </c>
      <c r="O51" s="117">
        <v>0</v>
      </c>
      <c r="P51" s="117">
        <v>0</v>
      </c>
      <c r="Q51" s="117">
        <v>0</v>
      </c>
      <c r="R51" s="117">
        <v>-255</v>
      </c>
      <c r="S51" s="117">
        <v>0</v>
      </c>
      <c r="T51" s="117">
        <v>0</v>
      </c>
      <c r="U51" s="1">
        <v>-27935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-14</v>
      </c>
      <c r="H52" s="2">
        <v>-15484</v>
      </c>
      <c r="I52" s="2">
        <v>-85</v>
      </c>
      <c r="J52" s="2">
        <v>-1088</v>
      </c>
      <c r="K52" s="2">
        <v>-17312</v>
      </c>
      <c r="L52" s="2">
        <v>0</v>
      </c>
      <c r="M52" s="2">
        <v>0</v>
      </c>
      <c r="N52" s="2">
        <v>0</v>
      </c>
      <c r="O52" s="117">
        <v>0</v>
      </c>
      <c r="P52" s="117">
        <v>-1215</v>
      </c>
      <c r="Q52" s="117">
        <v>-293</v>
      </c>
      <c r="R52" s="117">
        <v>0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-92</v>
      </c>
      <c r="G53" s="40">
        <v>-2217</v>
      </c>
      <c r="H53" s="40">
        <v>-18</v>
      </c>
      <c r="I53" s="40">
        <v>-2697</v>
      </c>
      <c r="J53" s="40">
        <v>-53</v>
      </c>
      <c r="K53" s="40">
        <v>-459</v>
      </c>
      <c r="L53" s="40">
        <v>-19732</v>
      </c>
      <c r="M53" s="40">
        <v>-9795</v>
      </c>
      <c r="N53" s="40">
        <v>-238</v>
      </c>
      <c r="O53" s="95">
        <v>-152</v>
      </c>
      <c r="P53" s="168">
        <v>0</v>
      </c>
      <c r="Q53" s="168">
        <v>0</v>
      </c>
      <c r="R53" s="168">
        <v>0</v>
      </c>
      <c r="S53" s="182">
        <v>0</v>
      </c>
      <c r="T53" s="182">
        <v>0</v>
      </c>
      <c r="U53" s="182">
        <v>-46</v>
      </c>
    </row>
    <row r="54" spans="1:21" x14ac:dyDescent="0.2">
      <c r="A54" s="25"/>
      <c r="B54" s="126"/>
      <c r="C54" s="126"/>
      <c r="D54" s="126"/>
      <c r="E54" s="126"/>
      <c r="F54" s="126">
        <f t="shared" ref="F54:O54" si="11">SUM(F42:F53)</f>
        <v>-92</v>
      </c>
      <c r="G54" s="126">
        <f t="shared" si="11"/>
        <v>-68764</v>
      </c>
      <c r="H54" s="126">
        <f t="shared" si="11"/>
        <v>-36544</v>
      </c>
      <c r="I54" s="126">
        <f t="shared" si="11"/>
        <v>-44017</v>
      </c>
      <c r="J54" s="126">
        <f t="shared" si="11"/>
        <v>-34708</v>
      </c>
      <c r="K54" s="126">
        <f t="shared" si="11"/>
        <v>-53775</v>
      </c>
      <c r="L54" s="126">
        <f t="shared" si="11"/>
        <v>-26903</v>
      </c>
      <c r="M54" s="126">
        <f t="shared" si="11"/>
        <v>-71065</v>
      </c>
      <c r="N54" s="126">
        <f t="shared" si="11"/>
        <v>-100343</v>
      </c>
      <c r="O54" s="96">
        <f t="shared" si="11"/>
        <v>-2066</v>
      </c>
      <c r="P54" s="96">
        <f t="shared" ref="P54:Q54" si="12">SUM(P42:P53)</f>
        <v>-36636</v>
      </c>
      <c r="Q54" s="96">
        <f t="shared" si="12"/>
        <v>-25766</v>
      </c>
      <c r="R54" s="126">
        <f t="shared" ref="R54:S54" si="13">SUM(R42:R53)</f>
        <v>-17487</v>
      </c>
      <c r="S54" s="126">
        <f t="shared" si="13"/>
        <v>-11595</v>
      </c>
      <c r="T54" s="126">
        <f t="shared" ref="T54:U54" si="14">SUM(T42:T53)</f>
        <v>-5782</v>
      </c>
      <c r="U54" s="126">
        <f t="shared" si="14"/>
        <v>-32159</v>
      </c>
    </row>
  </sheetData>
  <phoneticPr fontId="4" type="noConversion"/>
  <pageMargins left="0.23" right="0.23" top="1" bottom="1" header="0.5" footer="0.5"/>
  <pageSetup orientation="landscape" r:id="rId1"/>
  <headerFooter alignWithMargins="0">
    <oddHeader>&amp;A</oddHeader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3CEB-CE65-4416-9EFE-7FD63B9657F3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/>
    </row>
    <row r="2" spans="1:21" x14ac:dyDescent="0.2">
      <c r="A2" s="24" t="s">
        <v>505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184657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213418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230833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214900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213473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208842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223294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227160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1716577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506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9135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8758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18944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7902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12611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15090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9914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7077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89431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507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B63A-4D51-4F29-A45C-A0B9DA1D7F93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</cols>
  <sheetData>
    <row r="1" spans="1:21" x14ac:dyDescent="0.2">
      <c r="A1" s="121"/>
    </row>
    <row r="2" spans="1:21" x14ac:dyDescent="0.2">
      <c r="A2" s="24" t="s">
        <v>508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>
        <v>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>
        <v>13332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>
        <v>17624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23168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17557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19930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20386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16900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15963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>
        <f t="shared" ref="T17" si="0">SUM(T5:T16)</f>
        <v>0</v>
      </c>
      <c r="U17" s="126">
        <f>SUM(U5:U16)</f>
        <v>144860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509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>
        <v>1073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>
        <v>1007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3023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1571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1278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1019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524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708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1">SUM(T24:T35)</f>
        <v>0</v>
      </c>
      <c r="U36" s="126">
        <f>SUM(U24:U35)</f>
        <v>10203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510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2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7FD3-EA2C-489D-8D5B-DA61ADBF576B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</cols>
  <sheetData>
    <row r="1" spans="1:21" x14ac:dyDescent="0.2">
      <c r="A1" s="121"/>
    </row>
    <row r="2" spans="1:21" x14ac:dyDescent="0.2">
      <c r="A2" s="24" t="s">
        <v>518</v>
      </c>
      <c r="B2" s="6">
        <v>5.0000000000000001E-3</v>
      </c>
      <c r="D2" s="94" t="s">
        <v>521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/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/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/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47616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52038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52019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49858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51961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/>
      <c r="U17" s="126">
        <f>SUM(U5:U16)</f>
        <v>253492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519</v>
      </c>
      <c r="B21" s="6">
        <v>5.0000000000000001E-3</v>
      </c>
      <c r="D21" s="94" t="s">
        <v>521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/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/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/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1306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1880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1686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2319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2352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>
        <f t="shared" ref="T36" si="0">SUM(T24:T35)</f>
        <v>0</v>
      </c>
      <c r="U36" s="126">
        <f>SUM(U24:U35)</f>
        <v>9543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520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/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/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/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>
        <f t="shared" ref="T54" si="1">SUM(T42:T53)</f>
        <v>0</v>
      </c>
      <c r="U54" s="126">
        <f>SUM(U42:U53)</f>
        <v>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05B7-D74A-4CDA-B6E5-1CF3D7159FF0}">
  <dimension ref="A1:U80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1.7109375" bestFit="1" customWidth="1"/>
  </cols>
  <sheetData>
    <row r="1" spans="1:21" x14ac:dyDescent="0.2">
      <c r="A1" s="29" t="s">
        <v>523</v>
      </c>
    </row>
    <row r="2" spans="1:21" x14ac:dyDescent="0.2">
      <c r="A2" s="24" t="s">
        <v>75</v>
      </c>
      <c r="B2" s="6">
        <v>7.4999999999999997E-3</v>
      </c>
      <c r="D2" s="94" t="s">
        <v>524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/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/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/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/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/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/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31522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36727255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38206217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/>
      <c r="U17" s="126">
        <f>SUM(U5:U16)</f>
        <v>74964994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A20" s="29" t="s">
        <v>523</v>
      </c>
      <c r="F20" s="35"/>
      <c r="H20" s="2"/>
      <c r="L20" s="94"/>
    </row>
    <row r="21" spans="1:21" x14ac:dyDescent="0.2">
      <c r="A21" s="24" t="s">
        <v>74</v>
      </c>
      <c r="B21" s="6">
        <v>7.4999999999999997E-3</v>
      </c>
      <c r="D21" s="94" t="s">
        <v>524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/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/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/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/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/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/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1381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2282882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2042082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/>
      <c r="U36" s="126">
        <f>SUM(U24:U35)</f>
        <v>4326345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9" t="s">
        <v>523</v>
      </c>
      <c r="F38" s="2"/>
      <c r="H38" s="2"/>
    </row>
    <row r="39" spans="1:21" x14ac:dyDescent="0.2">
      <c r="A39" s="24" t="s">
        <v>478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/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/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/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/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/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/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-1256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-138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/>
      <c r="U54" s="126">
        <f>SUM(U42:U53)</f>
        <v>-1394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A92E-45B8-4B2F-B36B-258D40EDA67A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1.7109375" bestFit="1" customWidth="1"/>
  </cols>
  <sheetData>
    <row r="1" spans="1:21" x14ac:dyDescent="0.2">
      <c r="A1" s="24" t="s">
        <v>525</v>
      </c>
    </row>
    <row r="2" spans="1:21" x14ac:dyDescent="0.2">
      <c r="A2" s="24" t="s">
        <v>75</v>
      </c>
      <c r="B2" s="6">
        <v>2.5000000000000001E-3</v>
      </c>
      <c r="D2" s="94" t="s">
        <v>524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43"/>
      <c r="S8" s="1"/>
      <c r="T8" s="1"/>
      <c r="U8" s="1"/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/>
      <c r="S9" s="1"/>
      <c r="T9" s="1"/>
      <c r="U9" s="1"/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/>
      <c r="S10" s="1"/>
      <c r="T10" s="1"/>
      <c r="U10" s="1"/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/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/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/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10463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12265812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12736141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/>
      <c r="S17" s="126"/>
      <c r="T17" s="126"/>
      <c r="U17" s="126">
        <f>SUM(U5:U16)</f>
        <v>25012416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A20" s="24" t="s">
        <v>525</v>
      </c>
      <c r="F20" s="35"/>
      <c r="H20" s="2"/>
      <c r="L20" s="94"/>
    </row>
    <row r="21" spans="1:21" x14ac:dyDescent="0.2">
      <c r="A21" s="24" t="s">
        <v>74</v>
      </c>
      <c r="B21" s="6">
        <v>2.5000000000000001E-3</v>
      </c>
      <c r="D21" s="94" t="s">
        <v>524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43"/>
      <c r="S27" s="1"/>
      <c r="T27" s="1"/>
      <c r="U27" s="1"/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/>
      <c r="S28" s="1"/>
      <c r="T28" s="1"/>
      <c r="U28" s="1"/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/>
      <c r="S29" s="1"/>
      <c r="T29" s="1"/>
      <c r="U29" s="1"/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/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/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/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471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788853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695370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/>
      <c r="S36" s="126"/>
      <c r="T36" s="126"/>
      <c r="U36" s="126">
        <f>SUM(U24:U35)</f>
        <v>1484694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4" t="s">
        <v>525</v>
      </c>
      <c r="F38" s="2"/>
      <c r="H38" s="2"/>
    </row>
    <row r="39" spans="1:21" x14ac:dyDescent="0.2">
      <c r="A39" s="24" t="s">
        <v>478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43"/>
      <c r="S45" s="117"/>
      <c r="T45" s="1"/>
      <c r="U45" s="1"/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/>
      <c r="S46" s="117"/>
      <c r="T46" s="1"/>
      <c r="U46" s="1"/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"/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/>
      <c r="S48" s="117"/>
      <c r="T48" s="1"/>
      <c r="U48" s="1"/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"/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"/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/>
      <c r="S52" s="117"/>
      <c r="T52" s="1"/>
      <c r="U52" s="1">
        <v>-419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/>
      <c r="R53" s="168"/>
      <c r="S53" s="182"/>
      <c r="T53" s="1"/>
      <c r="U53" s="1">
        <v>-46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/>
      <c r="S54" s="126"/>
      <c r="T54" s="126"/>
      <c r="U54" s="126">
        <f>SUM(U42:U53)</f>
        <v>-465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A1:BW52"/>
  <sheetViews>
    <sheetView zoomScaleNormal="100" workbookViewId="0">
      <selection activeCell="BU12" sqref="BU12"/>
    </sheetView>
  </sheetViews>
  <sheetFormatPr defaultRowHeight="12.75" x14ac:dyDescent="0.2"/>
  <cols>
    <col min="1" max="1" width="13.42578125" bestFit="1" customWidth="1"/>
    <col min="2" max="2" width="16.140625" bestFit="1" customWidth="1"/>
    <col min="3" max="3" width="11.140625" bestFit="1" customWidth="1"/>
    <col min="4" max="4" width="10.42578125" bestFit="1" customWidth="1"/>
    <col min="5" max="5" width="9.140625" customWidth="1"/>
    <col min="6" max="7" width="10.42578125" bestFit="1" customWidth="1"/>
    <col min="8" max="8" width="9.28515625" bestFit="1" customWidth="1"/>
    <col min="9" max="9" width="9.28515625" customWidth="1"/>
    <col min="10" max="11" width="9.140625" bestFit="1" customWidth="1"/>
    <col min="12" max="12" width="10.28515625" bestFit="1" customWidth="1"/>
    <col min="13" max="13" width="10.42578125" bestFit="1" customWidth="1"/>
    <col min="14" max="14" width="8.7109375" bestFit="1" customWidth="1"/>
    <col min="15" max="16" width="10.28515625" bestFit="1" customWidth="1"/>
    <col min="17" max="17" width="10.140625" bestFit="1" customWidth="1"/>
    <col min="18" max="18" width="11.42578125" bestFit="1" customWidth="1"/>
    <col min="19" max="20" width="10.140625" customWidth="1"/>
    <col min="21" max="21" width="10.42578125" bestFit="1" customWidth="1"/>
    <col min="22" max="23" width="10.140625" customWidth="1"/>
    <col min="24" max="24" width="9.140625" bestFit="1" customWidth="1"/>
    <col min="25" max="25" width="9.140625" customWidth="1"/>
    <col min="26" max="26" width="9.140625" bestFit="1" customWidth="1"/>
    <col min="27" max="27" width="9.140625" customWidth="1"/>
    <col min="28" max="28" width="9.42578125" customWidth="1"/>
    <col min="29" max="29" width="11.42578125" bestFit="1" customWidth="1"/>
    <col min="30" max="30" width="10.42578125" bestFit="1" customWidth="1"/>
    <col min="31" max="31" width="9.140625" bestFit="1" customWidth="1"/>
    <col min="32" max="32" width="9.140625" customWidth="1"/>
    <col min="33" max="33" width="10.42578125" bestFit="1" customWidth="1"/>
    <col min="34" max="34" width="9.140625" customWidth="1"/>
    <col min="35" max="35" width="10.28515625" bestFit="1" customWidth="1"/>
    <col min="36" max="36" width="9.140625" bestFit="1" customWidth="1"/>
    <col min="37" max="37" width="9.140625" customWidth="1"/>
    <col min="38" max="38" width="9.140625" bestFit="1" customWidth="1"/>
    <col min="39" max="39" width="10.42578125" bestFit="1" customWidth="1"/>
    <col min="40" max="40" width="10.42578125" customWidth="1"/>
    <col min="41" max="41" width="10.28515625" bestFit="1" customWidth="1"/>
    <col min="42" max="42" width="9.140625" bestFit="1" customWidth="1"/>
    <col min="43" max="44" width="11.28515625" bestFit="1" customWidth="1"/>
    <col min="45" max="45" width="11.28515625" customWidth="1"/>
    <col min="46" max="46" width="9.28515625" bestFit="1" customWidth="1"/>
    <col min="47" max="47" width="9.28515625" customWidth="1"/>
    <col min="48" max="48" width="10.28515625" bestFit="1" customWidth="1"/>
    <col min="49" max="49" width="9.140625" customWidth="1"/>
    <col min="50" max="50" width="10.28515625" bestFit="1" customWidth="1"/>
    <col min="51" max="51" width="9.5703125" bestFit="1" customWidth="1"/>
    <col min="52" max="52" width="9.5703125" customWidth="1"/>
    <col min="53" max="53" width="9.140625" customWidth="1"/>
    <col min="54" max="54" width="11.28515625" bestFit="1" customWidth="1"/>
    <col min="55" max="59" width="10.28515625" customWidth="1"/>
    <col min="60" max="61" width="11.140625" bestFit="1" customWidth="1"/>
    <col min="62" max="62" width="11.140625" customWidth="1"/>
    <col min="63" max="63" width="9.5703125" bestFit="1" customWidth="1"/>
    <col min="64" max="64" width="10.28515625" bestFit="1" customWidth="1"/>
    <col min="65" max="65" width="10.28515625" customWidth="1"/>
    <col min="66" max="67" width="9.5703125" customWidth="1"/>
    <col min="68" max="68" width="10.28515625" bestFit="1" customWidth="1"/>
    <col min="69" max="71" width="11.7109375" bestFit="1" customWidth="1"/>
    <col min="72" max="72" width="11.7109375" customWidth="1"/>
    <col min="73" max="74" width="11.7109375" bestFit="1" customWidth="1"/>
    <col min="75" max="75" width="12.42578125" bestFit="1" customWidth="1"/>
  </cols>
  <sheetData>
    <row r="1" spans="1:73" x14ac:dyDescent="0.2">
      <c r="B1" s="29" t="s">
        <v>473</v>
      </c>
      <c r="C1" s="29"/>
      <c r="D1" s="29"/>
      <c r="E1" s="29"/>
      <c r="F1" s="29"/>
      <c r="G1" s="29"/>
      <c r="H1" s="29"/>
      <c r="I1" s="29"/>
      <c r="J1" s="6"/>
      <c r="K1" s="6"/>
      <c r="L1" s="6"/>
      <c r="M1" s="6"/>
      <c r="N1" s="6"/>
      <c r="O1" s="6"/>
      <c r="P1" s="6"/>
      <c r="Q1" s="6"/>
    </row>
    <row r="2" spans="1:73" x14ac:dyDescent="0.2">
      <c r="B2" s="24"/>
      <c r="C2" s="35"/>
      <c r="D2" s="35"/>
      <c r="E2" s="35"/>
      <c r="F2" s="35"/>
      <c r="G2" s="35"/>
      <c r="H2" s="35"/>
      <c r="I2" s="35"/>
      <c r="J2" s="35"/>
      <c r="K2" s="35" t="s">
        <v>114</v>
      </c>
      <c r="L2" s="35"/>
      <c r="M2" s="119" t="s">
        <v>306</v>
      </c>
      <c r="N2" s="90"/>
      <c r="O2" s="90"/>
      <c r="P2" s="90" t="s">
        <v>123</v>
      </c>
      <c r="Q2" s="90" t="s">
        <v>118</v>
      </c>
      <c r="R2" s="35"/>
      <c r="S2" s="35" t="s">
        <v>343</v>
      </c>
      <c r="T2" s="35"/>
      <c r="U2" s="35"/>
      <c r="V2" s="35"/>
      <c r="W2" s="35"/>
      <c r="X2" s="35" t="s">
        <v>139</v>
      </c>
      <c r="Y2" s="35" t="s">
        <v>345</v>
      </c>
      <c r="Z2" s="35" t="s">
        <v>120</v>
      </c>
      <c r="AA2" s="35"/>
      <c r="AB2" s="89" t="s">
        <v>495</v>
      </c>
      <c r="AC2" s="90"/>
      <c r="AD2" s="35"/>
      <c r="AE2" s="35"/>
      <c r="AF2" s="89" t="s">
        <v>402</v>
      </c>
      <c r="AG2" s="89" t="s">
        <v>497</v>
      </c>
      <c r="AH2" s="89"/>
      <c r="AI2" s="89" t="s">
        <v>452</v>
      </c>
      <c r="AJ2" s="35"/>
      <c r="AK2" s="35"/>
      <c r="AL2" s="35" t="s">
        <v>116</v>
      </c>
      <c r="AM2" s="35"/>
      <c r="AN2" s="35"/>
      <c r="AO2" s="35"/>
      <c r="AP2" s="35"/>
      <c r="AQ2" s="89" t="s">
        <v>526</v>
      </c>
      <c r="AR2" s="35"/>
      <c r="AS2" s="35"/>
      <c r="AT2" s="35"/>
      <c r="AU2" s="35"/>
      <c r="AV2" s="35"/>
      <c r="AW2" s="35" t="s">
        <v>126</v>
      </c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 t="s">
        <v>124</v>
      </c>
      <c r="BL2" s="35"/>
      <c r="BM2" s="35"/>
      <c r="BN2" s="35"/>
      <c r="BO2" s="35"/>
      <c r="BP2" s="35"/>
      <c r="BQ2" s="35"/>
      <c r="BR2" s="35"/>
      <c r="BS2" s="35"/>
      <c r="BT2" s="35"/>
      <c r="BU2" s="10" t="s">
        <v>53</v>
      </c>
    </row>
    <row r="3" spans="1:73" x14ac:dyDescent="0.2">
      <c r="A3" t="s">
        <v>102</v>
      </c>
      <c r="B3" s="33" t="s">
        <v>75</v>
      </c>
      <c r="C3" s="89" t="s">
        <v>70</v>
      </c>
      <c r="D3" s="89" t="s">
        <v>71</v>
      </c>
      <c r="E3" s="89" t="s">
        <v>398</v>
      </c>
      <c r="F3" s="89" t="s">
        <v>72</v>
      </c>
      <c r="G3" s="89" t="s">
        <v>78</v>
      </c>
      <c r="H3" s="89" t="s">
        <v>107</v>
      </c>
      <c r="I3" s="89" t="s">
        <v>222</v>
      </c>
      <c r="J3" s="89" t="s">
        <v>73</v>
      </c>
      <c r="K3" s="89" t="s">
        <v>115</v>
      </c>
      <c r="L3" s="89" t="s">
        <v>399</v>
      </c>
      <c r="M3" s="89" t="s">
        <v>122</v>
      </c>
      <c r="N3" s="89" t="s">
        <v>90</v>
      </c>
      <c r="O3" s="89" t="s">
        <v>149</v>
      </c>
      <c r="P3" s="89" t="s">
        <v>122</v>
      </c>
      <c r="Q3" s="89" t="s">
        <v>119</v>
      </c>
      <c r="R3" s="89" t="s">
        <v>42</v>
      </c>
      <c r="S3" s="89" t="s">
        <v>344</v>
      </c>
      <c r="T3" s="89" t="s">
        <v>511</v>
      </c>
      <c r="U3" s="89" t="s">
        <v>400</v>
      </c>
      <c r="V3" s="89" t="s">
        <v>401</v>
      </c>
      <c r="W3" s="89" t="s">
        <v>317</v>
      </c>
      <c r="X3" s="89" t="s">
        <v>117</v>
      </c>
      <c r="Y3" s="89" t="s">
        <v>346</v>
      </c>
      <c r="Z3" s="89" t="s">
        <v>121</v>
      </c>
      <c r="AA3" s="89" t="s">
        <v>435</v>
      </c>
      <c r="AB3" s="89" t="s">
        <v>496</v>
      </c>
      <c r="AC3" s="89" t="s">
        <v>79</v>
      </c>
      <c r="AD3" s="89" t="s">
        <v>43</v>
      </c>
      <c r="AE3" s="89" t="s">
        <v>137</v>
      </c>
      <c r="AF3" s="89" t="s">
        <v>117</v>
      </c>
      <c r="AG3" s="89" t="s">
        <v>122</v>
      </c>
      <c r="AH3" s="89" t="s">
        <v>447</v>
      </c>
      <c r="AI3" s="89" t="s">
        <v>453</v>
      </c>
      <c r="AJ3" s="89" t="s">
        <v>138</v>
      </c>
      <c r="AK3" s="89" t="s">
        <v>522</v>
      </c>
      <c r="AL3" s="89" t="s">
        <v>117</v>
      </c>
      <c r="AM3" s="89" t="s">
        <v>44</v>
      </c>
      <c r="AN3" s="89" t="s">
        <v>494</v>
      </c>
      <c r="AO3" s="89" t="s">
        <v>150</v>
      </c>
      <c r="AP3" s="89" t="s">
        <v>151</v>
      </c>
      <c r="AQ3" s="89" t="s">
        <v>528</v>
      </c>
      <c r="AR3" s="89" t="s">
        <v>45</v>
      </c>
      <c r="AS3" s="89" t="s">
        <v>493</v>
      </c>
      <c r="AT3" s="89" t="s">
        <v>302</v>
      </c>
      <c r="AU3" s="89" t="s">
        <v>318</v>
      </c>
      <c r="AV3" s="89" t="s">
        <v>46</v>
      </c>
      <c r="AW3" s="89" t="s">
        <v>44</v>
      </c>
      <c r="AX3" s="89" t="s">
        <v>515</v>
      </c>
      <c r="AY3" s="89" t="s">
        <v>76</v>
      </c>
      <c r="AZ3" s="89" t="s">
        <v>436</v>
      </c>
      <c r="BA3" s="89" t="s">
        <v>47</v>
      </c>
      <c r="BB3" s="89" t="s">
        <v>38</v>
      </c>
      <c r="BC3" s="89" t="s">
        <v>403</v>
      </c>
      <c r="BD3" s="89" t="s">
        <v>419</v>
      </c>
      <c r="BE3" s="89" t="s">
        <v>437</v>
      </c>
      <c r="BF3" s="89" t="s">
        <v>319</v>
      </c>
      <c r="BG3" s="89" t="s">
        <v>514</v>
      </c>
      <c r="BH3" s="89" t="s">
        <v>48</v>
      </c>
      <c r="BI3" s="89" t="s">
        <v>49</v>
      </c>
      <c r="BJ3" s="89" t="s">
        <v>467</v>
      </c>
      <c r="BK3" s="89" t="s">
        <v>125</v>
      </c>
      <c r="BL3" s="89" t="s">
        <v>438</v>
      </c>
      <c r="BM3" s="89" t="s">
        <v>492</v>
      </c>
      <c r="BN3" s="89" t="s">
        <v>342</v>
      </c>
      <c r="BO3" s="89" t="s">
        <v>513</v>
      </c>
      <c r="BP3" s="89" t="s">
        <v>420</v>
      </c>
      <c r="BQ3" s="89" t="s">
        <v>77</v>
      </c>
      <c r="BR3" s="89" t="s">
        <v>109</v>
      </c>
      <c r="BS3" s="89" t="s">
        <v>91</v>
      </c>
      <c r="BT3" s="89" t="s">
        <v>512</v>
      </c>
      <c r="BU3" s="16" t="s">
        <v>54</v>
      </c>
    </row>
    <row r="4" spans="1:73" x14ac:dyDescent="0.2">
      <c r="B4" s="25"/>
      <c r="C4" s="34"/>
      <c r="D4" s="34"/>
      <c r="E4" s="34"/>
      <c r="F4" s="34"/>
      <c r="G4" s="25"/>
      <c r="H4" s="25"/>
      <c r="I4" s="34"/>
      <c r="J4" s="34"/>
      <c r="K4" s="34"/>
      <c r="L4" s="35"/>
      <c r="M4" s="35"/>
      <c r="N4" s="34"/>
      <c r="O4" s="35"/>
      <c r="P4" s="34"/>
      <c r="Q4" s="35"/>
      <c r="R4" s="21"/>
      <c r="S4" s="171"/>
      <c r="T4" s="21"/>
      <c r="U4" s="21"/>
      <c r="V4" s="21"/>
      <c r="W4" s="21"/>
      <c r="X4" s="171"/>
      <c r="Y4" s="171"/>
      <c r="Z4" s="93"/>
      <c r="AA4" s="93"/>
      <c r="AB4" s="93"/>
      <c r="AC4" s="35"/>
      <c r="AN4" s="35"/>
      <c r="AO4" s="35"/>
      <c r="AP4" s="35"/>
      <c r="AQ4" s="35"/>
      <c r="AR4" s="10"/>
      <c r="AS4" s="10"/>
      <c r="AT4" s="10"/>
      <c r="AU4" s="10"/>
      <c r="AV4" s="10"/>
      <c r="AW4" s="10"/>
      <c r="AX4" s="34"/>
      <c r="AY4" s="34"/>
      <c r="AZ4" s="34"/>
      <c r="BB4" s="36"/>
      <c r="BC4" s="36"/>
      <c r="BD4" s="36"/>
      <c r="BE4" s="36"/>
      <c r="BF4" s="36"/>
      <c r="BG4" s="36"/>
      <c r="BM4" s="171"/>
      <c r="BN4" s="171"/>
      <c r="BO4" s="171"/>
      <c r="BS4" s="36"/>
      <c r="BT4" s="36"/>
    </row>
    <row r="5" spans="1:73" x14ac:dyDescent="0.2">
      <c r="A5">
        <v>2023</v>
      </c>
      <c r="B5" s="26" t="s">
        <v>51</v>
      </c>
      <c r="C5" s="111">
        <f>'Albert Lea'!U5</f>
        <v>167911</v>
      </c>
      <c r="D5" s="111">
        <f>Austin!U5</f>
        <v>161527</v>
      </c>
      <c r="E5" s="111">
        <f>Avon!U5</f>
        <v>29293</v>
      </c>
      <c r="F5" s="111">
        <f>Baxter!U5</f>
        <v>288863</v>
      </c>
      <c r="G5" s="110">
        <f>Bemidji!U5</f>
        <v>282540</v>
      </c>
      <c r="H5" s="110"/>
      <c r="I5" s="110">
        <f>'Blue Earth'!U5</f>
        <v>47217</v>
      </c>
      <c r="J5" s="110">
        <f>Brainerd!U5</f>
        <v>120180</v>
      </c>
      <c r="K5" s="110"/>
      <c r="L5" s="110">
        <f>Cambridge!U5</f>
        <v>162981</v>
      </c>
      <c r="M5" s="110">
        <f>'Clay Cty'!U5</f>
        <v>367353</v>
      </c>
      <c r="N5" s="110">
        <f>Clearwater!U5</f>
        <v>28952</v>
      </c>
      <c r="O5" s="110">
        <f>Cloquet!U5</f>
        <v>111648</v>
      </c>
      <c r="P5" s="110">
        <f>'Cook Cty'!U5</f>
        <v>173743</v>
      </c>
      <c r="Q5" s="110">
        <f>'Detroit Lakes'!U4</f>
        <v>150371</v>
      </c>
      <c r="R5" s="110">
        <f>Duluth!U5</f>
        <v>2651363</v>
      </c>
      <c r="S5" s="110">
        <f>'East Grand Forks'!U5</f>
        <v>60</v>
      </c>
      <c r="T5" s="110">
        <f>Edina!U5</f>
        <v>0</v>
      </c>
      <c r="U5" s="110">
        <f>'Elk River'!U5</f>
        <v>307032</v>
      </c>
      <c r="V5" s="110">
        <f>Excelsior!U5</f>
        <v>64398</v>
      </c>
      <c r="W5" s="110">
        <f>Fairmont!U5</f>
        <v>102917</v>
      </c>
      <c r="X5" s="110">
        <f>FergusFalls!U5</f>
        <v>2319</v>
      </c>
      <c r="Y5" s="110">
        <f>'GKWMLL Sanitary'!U5</f>
        <v>20488</v>
      </c>
      <c r="Z5" s="110"/>
      <c r="AA5" s="110">
        <f>Glenwood!U5</f>
        <v>26859</v>
      </c>
      <c r="AB5" s="110">
        <f>'Grand Rapids'!U5</f>
        <v>0</v>
      </c>
      <c r="AC5" s="110">
        <f>Hennepin!U5</f>
        <v>4306959</v>
      </c>
      <c r="AD5" s="110">
        <f>Hermantown!U5</f>
        <v>324580</v>
      </c>
      <c r="AE5" s="110">
        <f>Hutchinson!U5</f>
        <v>171619</v>
      </c>
      <c r="AF5" s="110">
        <f>'Int. Falls'!U5</f>
        <v>104918</v>
      </c>
      <c r="AG5" s="110">
        <f>'Itasca Cty'!U5</f>
        <v>0</v>
      </c>
      <c r="AH5" s="110"/>
      <c r="AI5" s="110"/>
      <c r="AJ5" s="110">
        <f>Lanesboro!U5</f>
        <v>5982</v>
      </c>
      <c r="AK5" s="110">
        <f>Litchfield!U5</f>
        <v>0</v>
      </c>
      <c r="AL5" s="110"/>
      <c r="AM5" s="110">
        <f>Mankato!U5</f>
        <v>610383</v>
      </c>
      <c r="AN5" s="110">
        <f>'Maple Grove'!U5</f>
        <v>0</v>
      </c>
      <c r="AO5" s="110">
        <f>Marshall!U5</f>
        <v>156062</v>
      </c>
      <c r="AP5" s="110">
        <f>Medford!U5</f>
        <v>24918</v>
      </c>
      <c r="AQ5" s="110">
        <f>'Metro Housing'!U5</f>
        <v>0</v>
      </c>
      <c r="AR5" s="110">
        <f>Minneapolis!U4</f>
        <v>4129551</v>
      </c>
      <c r="AS5" s="110">
        <f>Moorhead!U5</f>
        <v>0</v>
      </c>
      <c r="AT5" s="110">
        <f>'Moose Lake'!U5</f>
        <v>26675</v>
      </c>
      <c r="AU5" s="110">
        <f>'New London'!U5</f>
        <v>11117</v>
      </c>
      <c r="AV5" s="110">
        <f>'New Ulm'!U5</f>
        <v>144436</v>
      </c>
      <c r="AW5" s="110">
        <f>'North Mankato'!U5</f>
        <v>81477</v>
      </c>
      <c r="AX5" s="110">
        <f>Oakdale!U5</f>
        <v>0</v>
      </c>
      <c r="AY5" s="110">
        <f>Owatonna!U5</f>
        <v>0</v>
      </c>
      <c r="AZ5" s="110">
        <f>Perham!U5</f>
        <v>62206</v>
      </c>
      <c r="BA5" s="110">
        <f>Proctor!U5</f>
        <v>30607</v>
      </c>
      <c r="BB5" s="110">
        <f>Rochester!U5</f>
        <v>1950764</v>
      </c>
      <c r="BC5" s="110">
        <f>Rogers!U5</f>
        <v>131400</v>
      </c>
      <c r="BD5" s="110">
        <f>'Sauk Centre'!U5</f>
        <v>60221</v>
      </c>
      <c r="BE5" s="110">
        <f>Scanlon!U5</f>
        <v>7207</v>
      </c>
      <c r="BF5" s="110">
        <f>Spicer!U5</f>
        <v>18918</v>
      </c>
      <c r="BG5" s="110">
        <f>Staples!U5</f>
        <v>0</v>
      </c>
      <c r="BH5" s="110">
        <f>'St. Cloud Area'!U5</f>
        <v>1202272</v>
      </c>
      <c r="BI5" s="110">
        <f>'St. Paul'!U5</f>
        <v>1977221</v>
      </c>
      <c r="BJ5" s="110">
        <f>'St Peter'!U5</f>
        <v>57196</v>
      </c>
      <c r="BK5" s="110">
        <f>'Two Harbors'!U5</f>
        <v>95472</v>
      </c>
      <c r="BL5" s="110">
        <f>Virginia!U5</f>
        <v>203203</v>
      </c>
      <c r="BM5" s="110">
        <f>'Waite Park'!U5</f>
        <v>0</v>
      </c>
      <c r="BN5" s="110">
        <f>Walker!U5</f>
        <v>70229</v>
      </c>
      <c r="BO5" s="110">
        <f>Warren!U5</f>
        <v>0</v>
      </c>
      <c r="BP5" s="110">
        <f>'West St. Paul'!U5</f>
        <v>187070</v>
      </c>
      <c r="BQ5" s="110">
        <f>Willmar!U5</f>
        <v>237694</v>
      </c>
      <c r="BR5" s="110"/>
      <c r="BS5" s="110">
        <f>Worthington!U5</f>
        <v>116163</v>
      </c>
      <c r="BT5" s="110"/>
      <c r="BU5" s="2">
        <f>SUM(C5:BT5)</f>
        <v>21774535</v>
      </c>
    </row>
    <row r="6" spans="1:73" x14ac:dyDescent="0.2">
      <c r="A6">
        <v>2023</v>
      </c>
      <c r="B6" s="26" t="s">
        <v>1</v>
      </c>
      <c r="C6" s="111">
        <f>'Albert Lea'!U6</f>
        <v>144609</v>
      </c>
      <c r="D6" s="111">
        <f>Austin!U6</f>
        <v>141867</v>
      </c>
      <c r="E6" s="111">
        <f>Avon!U6</f>
        <v>16750</v>
      </c>
      <c r="F6" s="111">
        <f>Baxter!U6</f>
        <v>227995</v>
      </c>
      <c r="G6" s="110">
        <f>Bemidji!U6</f>
        <v>221738</v>
      </c>
      <c r="H6" s="110"/>
      <c r="I6" s="110">
        <f>'Blue Earth'!U6</f>
        <v>34505</v>
      </c>
      <c r="J6" s="110">
        <f>Brainerd!U6</f>
        <v>93349</v>
      </c>
      <c r="K6" s="110"/>
      <c r="L6" s="110">
        <f>Cambridge!U6</f>
        <v>119202</v>
      </c>
      <c r="M6" s="110">
        <f>'Clay Cty'!U6</f>
        <v>307225</v>
      </c>
      <c r="N6" s="110">
        <f>Clearwater!U6</f>
        <v>23009</v>
      </c>
      <c r="O6" s="110">
        <f>Cloquet!U6</f>
        <v>83175</v>
      </c>
      <c r="P6" s="110">
        <f>'Cook Cty'!U6</f>
        <v>170222</v>
      </c>
      <c r="Q6" s="110">
        <f>'Detroit Lakes'!U5</f>
        <v>134316</v>
      </c>
      <c r="R6" s="110">
        <f>Duluth!U6</f>
        <v>2023633</v>
      </c>
      <c r="S6" s="110">
        <f>'East Grand Forks'!U6</f>
        <v>12</v>
      </c>
      <c r="T6" s="110">
        <f>Edina!U6</f>
        <v>0</v>
      </c>
      <c r="U6" s="110">
        <f>'Elk River'!U6</f>
        <v>246839</v>
      </c>
      <c r="V6" s="110">
        <f>Excelsior!U6</f>
        <v>42861</v>
      </c>
      <c r="W6" s="110">
        <f>Fairmont!U6</f>
        <v>81226</v>
      </c>
      <c r="X6" s="110">
        <f>FergusFalls!U6</f>
        <v>3074</v>
      </c>
      <c r="Y6" s="110">
        <f>'GKWMLL Sanitary'!U6</f>
        <v>21741</v>
      </c>
      <c r="Z6" s="110"/>
      <c r="AA6" s="110">
        <f>Glenwood!U6</f>
        <v>20845</v>
      </c>
      <c r="AB6" s="110">
        <f>'Grand Rapids'!U6</f>
        <v>0</v>
      </c>
      <c r="AC6" s="110">
        <f>Hennepin!U6</f>
        <v>3320693</v>
      </c>
      <c r="AD6" s="110">
        <f>Hermantown!U6</f>
        <v>262837</v>
      </c>
      <c r="AE6" s="110">
        <f>Hutchinson!U6</f>
        <v>123313</v>
      </c>
      <c r="AF6" s="110">
        <f>'Int. Falls'!U6</f>
        <v>85167</v>
      </c>
      <c r="AG6" s="110">
        <f>'Itasca Cty'!U6</f>
        <v>0</v>
      </c>
      <c r="AH6" s="110"/>
      <c r="AI6" s="110"/>
      <c r="AJ6" s="110">
        <f>Lanesboro!U6</f>
        <v>3532</v>
      </c>
      <c r="AK6" s="110">
        <f>Litchfield!U6</f>
        <v>0</v>
      </c>
      <c r="AL6" s="110"/>
      <c r="AM6" s="110">
        <f>Mankato!U6</f>
        <v>504232</v>
      </c>
      <c r="AN6" s="110">
        <f>'Maple Grove'!U6</f>
        <v>0</v>
      </c>
      <c r="AO6" s="110">
        <f>Marshall!U6</f>
        <v>120391</v>
      </c>
      <c r="AP6" s="110">
        <f>Medford!U6</f>
        <v>11332</v>
      </c>
      <c r="AQ6" s="110">
        <f>'Metro Housing'!U6</f>
        <v>0</v>
      </c>
      <c r="AR6" s="110">
        <f>Minneapolis!U5</f>
        <v>3285348</v>
      </c>
      <c r="AS6" s="110">
        <f>Moorhead!U6</f>
        <v>0</v>
      </c>
      <c r="AT6" s="110">
        <f>'Moose Lake'!U6</f>
        <v>21032</v>
      </c>
      <c r="AU6" s="110">
        <f>'New London'!U6</f>
        <v>9119</v>
      </c>
      <c r="AV6" s="110">
        <f>'New Ulm'!U6</f>
        <v>118424</v>
      </c>
      <c r="AW6" s="110">
        <f>'North Mankato'!U6</f>
        <v>67905</v>
      </c>
      <c r="AX6" s="110">
        <f>Oakdale!U6</f>
        <v>0</v>
      </c>
      <c r="AY6" s="110">
        <f>Owatonna!U6</f>
        <v>0</v>
      </c>
      <c r="AZ6" s="110">
        <f>Perham!U6</f>
        <v>50537</v>
      </c>
      <c r="BA6" s="110">
        <f>Proctor!U6</f>
        <v>26714</v>
      </c>
      <c r="BB6" s="110">
        <f>Rochester!U6</f>
        <v>1549431</v>
      </c>
      <c r="BC6" s="110">
        <f>Rogers!U6</f>
        <v>89683</v>
      </c>
      <c r="BD6" s="110">
        <f>'Sauk Centre'!U6</f>
        <v>48128</v>
      </c>
      <c r="BE6" s="110">
        <f>Scanlon!U6</f>
        <v>7353</v>
      </c>
      <c r="BF6" s="110">
        <f>Spicer!U6</f>
        <v>15987</v>
      </c>
      <c r="BG6" s="110">
        <f>Staples!U6</f>
        <v>0</v>
      </c>
      <c r="BH6" s="110">
        <f>'St. Cloud Area'!U6</f>
        <v>929889</v>
      </c>
      <c r="BI6" s="110">
        <f>'St. Paul'!U6</f>
        <v>1640399</v>
      </c>
      <c r="BJ6" s="110">
        <f>'St Peter'!U6</f>
        <v>43025</v>
      </c>
      <c r="BK6" s="110">
        <f>'Two Harbors'!U6</f>
        <v>62726</v>
      </c>
      <c r="BL6" s="110">
        <f>Virginia!U6</f>
        <v>166103</v>
      </c>
      <c r="BM6" s="110">
        <f>'Waite Park'!U6</f>
        <v>0</v>
      </c>
      <c r="BN6" s="110">
        <f>Walker!U6</f>
        <v>58508</v>
      </c>
      <c r="BO6" s="110">
        <f>Warren!U6</f>
        <v>0</v>
      </c>
      <c r="BP6" s="110">
        <f>'West St. Paul'!U6</f>
        <v>150592</v>
      </c>
      <c r="BQ6" s="110">
        <f>Willmar!U6</f>
        <v>198311</v>
      </c>
      <c r="BR6" s="110"/>
      <c r="BS6" s="110">
        <f>Worthington!U6</f>
        <v>87986</v>
      </c>
      <c r="BT6" s="110"/>
      <c r="BU6" s="2">
        <f t="shared" ref="BU6:BU16" si="0">SUM(C6:BT6)</f>
        <v>17216890</v>
      </c>
    </row>
    <row r="7" spans="1:73" x14ac:dyDescent="0.2">
      <c r="A7">
        <v>2023</v>
      </c>
      <c r="B7" s="26" t="s">
        <v>2</v>
      </c>
      <c r="C7" s="111">
        <f>'Albert Lea'!U7</f>
        <v>138751</v>
      </c>
      <c r="D7" s="111">
        <f>Austin!U7</f>
        <v>136396</v>
      </c>
      <c r="E7" s="111">
        <f>Avon!U7</f>
        <v>16611</v>
      </c>
      <c r="F7" s="111">
        <f>Baxter!U7</f>
        <v>219085</v>
      </c>
      <c r="G7" s="110">
        <f>Bemidji!U7</f>
        <v>205910</v>
      </c>
      <c r="H7" s="110"/>
      <c r="I7" s="110">
        <f>'Blue Earth'!U7</f>
        <v>33661</v>
      </c>
      <c r="J7" s="110">
        <f>Brainerd!U7</f>
        <v>89026</v>
      </c>
      <c r="K7" s="110"/>
      <c r="L7" s="110">
        <f>Cambridge!U7</f>
        <v>117058</v>
      </c>
      <c r="M7" s="110">
        <f>'Clay Cty'!U7</f>
        <v>286748</v>
      </c>
      <c r="N7" s="110">
        <f>Clearwater!U7</f>
        <v>25632</v>
      </c>
      <c r="O7" s="110">
        <f>Cloquet!U7</f>
        <v>78687</v>
      </c>
      <c r="P7" s="110">
        <f>'Cook Cty'!U7</f>
        <v>156812</v>
      </c>
      <c r="Q7" s="110">
        <f>'Detroit Lakes'!U6</f>
        <v>120753</v>
      </c>
      <c r="R7" s="110">
        <f>Duluth!U7</f>
        <v>1958302</v>
      </c>
      <c r="S7" s="110">
        <f>'East Grand Forks'!U7</f>
        <v>24</v>
      </c>
      <c r="T7" s="110">
        <f>Edina!U7</f>
        <v>0</v>
      </c>
      <c r="U7" s="110">
        <f>'Elk River'!U7</f>
        <v>266468</v>
      </c>
      <c r="V7" s="110">
        <f>Excelsior!U7</f>
        <v>49562</v>
      </c>
      <c r="W7" s="110">
        <f>Fairmont!U7</f>
        <v>80324</v>
      </c>
      <c r="X7" s="110">
        <f>FergusFalls!U7</f>
        <v>2392</v>
      </c>
      <c r="Y7" s="110">
        <f>'GKWMLL Sanitary'!U7</f>
        <v>22999</v>
      </c>
      <c r="Z7" s="110"/>
      <c r="AA7" s="110">
        <f>Glenwood!U7</f>
        <v>19770</v>
      </c>
      <c r="AB7" s="110">
        <f>'Grand Rapids'!U7</f>
        <v>0</v>
      </c>
      <c r="AC7" s="110">
        <f>Hennepin!U7</f>
        <v>3095367</v>
      </c>
      <c r="AD7" s="110">
        <f>Hermantown!U7</f>
        <v>248993</v>
      </c>
      <c r="AE7" s="110">
        <f>Hutchinson!U7</f>
        <v>125828</v>
      </c>
      <c r="AF7" s="110">
        <f>'Int. Falls'!U7</f>
        <v>80041</v>
      </c>
      <c r="AG7" s="110">
        <f>'Itasca Cty'!U7</f>
        <v>0</v>
      </c>
      <c r="AH7" s="110"/>
      <c r="AI7" s="110"/>
      <c r="AJ7" s="110">
        <f>Lanesboro!U7</f>
        <v>3856</v>
      </c>
      <c r="AK7" s="110">
        <f>Litchfield!U7</f>
        <v>0</v>
      </c>
      <c r="AL7" s="110"/>
      <c r="AM7" s="110">
        <f>Mankato!U7</f>
        <v>472648</v>
      </c>
      <c r="AN7" s="110">
        <f>'Maple Grove'!U7</f>
        <v>0</v>
      </c>
      <c r="AO7" s="110">
        <f>Marshall!U7</f>
        <v>130809</v>
      </c>
      <c r="AP7" s="110">
        <f>Medford!U7</f>
        <v>7941</v>
      </c>
      <c r="AQ7" s="110">
        <f>'Metro Housing'!U7</f>
        <v>0</v>
      </c>
      <c r="AR7" s="110">
        <f>Minneapolis!U6</f>
        <v>3009812</v>
      </c>
      <c r="AS7" s="110">
        <f>Moorhead!U7</f>
        <v>0</v>
      </c>
      <c r="AT7" s="110">
        <f>'Moose Lake'!U7</f>
        <v>18622</v>
      </c>
      <c r="AU7" s="110">
        <f>'New London'!U7</f>
        <v>7876</v>
      </c>
      <c r="AV7" s="110">
        <f>'New Ulm'!U7</f>
        <v>112434</v>
      </c>
      <c r="AW7" s="110">
        <f>'North Mankato'!U7</f>
        <v>60196</v>
      </c>
      <c r="AX7" s="110">
        <f>Oakdale!U7</f>
        <v>0</v>
      </c>
      <c r="AY7" s="110">
        <f>Owatonna!U7</f>
        <v>0</v>
      </c>
      <c r="AZ7" s="110">
        <f>Perham!U7</f>
        <v>51804</v>
      </c>
      <c r="BA7" s="110">
        <f>Proctor!U7</f>
        <v>24785</v>
      </c>
      <c r="BB7" s="110">
        <f>Rochester!U7</f>
        <v>1532523</v>
      </c>
      <c r="BC7" s="110">
        <f>Rogers!U7</f>
        <v>91657</v>
      </c>
      <c r="BD7" s="110">
        <f>'Sauk Centre'!U7</f>
        <v>42813</v>
      </c>
      <c r="BE7" s="110">
        <f>Scanlon!U7</f>
        <v>8137</v>
      </c>
      <c r="BF7" s="110">
        <f>Spicer!U7</f>
        <v>12937</v>
      </c>
      <c r="BG7" s="110">
        <f>Staples!U7</f>
        <v>0</v>
      </c>
      <c r="BH7" s="110">
        <f>'St. Cloud Area'!U7</f>
        <v>912162</v>
      </c>
      <c r="BI7" s="110">
        <f>'St. Paul'!U7</f>
        <v>1609503</v>
      </c>
      <c r="BJ7" s="110">
        <f>'St Peter'!U7</f>
        <v>46975</v>
      </c>
      <c r="BK7" s="110">
        <f>'Two Harbors'!U7</f>
        <v>80537</v>
      </c>
      <c r="BL7" s="110">
        <f>Virginia!U7</f>
        <v>158103</v>
      </c>
      <c r="BM7" s="110">
        <f>'Waite Park'!U7</f>
        <v>0</v>
      </c>
      <c r="BN7" s="110">
        <f>Walker!U7</f>
        <v>59405</v>
      </c>
      <c r="BO7" s="110">
        <f>Warren!U7</f>
        <v>0</v>
      </c>
      <c r="BP7" s="110">
        <f>'West St. Paul'!U7</f>
        <v>140356</v>
      </c>
      <c r="BQ7" s="110">
        <f>Willmar!U7</f>
        <v>192448</v>
      </c>
      <c r="BR7" s="110"/>
      <c r="BS7" s="110">
        <f>Worthington!U7</f>
        <v>95952</v>
      </c>
      <c r="BT7" s="110"/>
      <c r="BU7" s="2">
        <f t="shared" si="0"/>
        <v>16459491</v>
      </c>
    </row>
    <row r="8" spans="1:73" x14ac:dyDescent="0.2">
      <c r="A8">
        <v>2023</v>
      </c>
      <c r="B8" s="26" t="s">
        <v>3</v>
      </c>
      <c r="C8" s="111">
        <f>'Albert Lea'!U8</f>
        <v>159918</v>
      </c>
      <c r="D8" s="111">
        <f>Austin!U8</f>
        <v>158429</v>
      </c>
      <c r="E8" s="111">
        <f>Avon!U8</f>
        <v>23052</v>
      </c>
      <c r="F8" s="111">
        <f>Baxter!U8</f>
        <v>260948</v>
      </c>
      <c r="G8" s="110">
        <f>Bemidji!U8</f>
        <v>243857</v>
      </c>
      <c r="H8" s="110"/>
      <c r="I8" s="110">
        <f>'Blue Earth'!U8</f>
        <v>54508</v>
      </c>
      <c r="J8" s="110">
        <f>Brainerd!U8</f>
        <v>107642</v>
      </c>
      <c r="K8" s="110"/>
      <c r="L8" s="110">
        <f>Cambridge!U8</f>
        <v>135170</v>
      </c>
      <c r="M8" s="110">
        <f>'Clay Cty'!U8</f>
        <v>345822</v>
      </c>
      <c r="N8" s="110">
        <f>Clearwater!U8</f>
        <v>24779</v>
      </c>
      <c r="O8" s="110">
        <f>Cloquet!U8</f>
        <v>91835</v>
      </c>
      <c r="P8" s="110">
        <f>'Cook Cty'!U8</f>
        <v>190828</v>
      </c>
      <c r="Q8" s="110">
        <f>'Detroit Lakes'!U7</f>
        <v>143027</v>
      </c>
      <c r="R8" s="110">
        <f>Duluth!U8</f>
        <v>2289822</v>
      </c>
      <c r="S8" s="110">
        <f>'East Grand Forks'!U8</f>
        <v>634</v>
      </c>
      <c r="T8" s="110">
        <f>Edina!U8</f>
        <v>0</v>
      </c>
      <c r="U8" s="110">
        <f>'Elk River'!U8</f>
        <v>295376</v>
      </c>
      <c r="V8" s="110">
        <f>Excelsior!U8</f>
        <v>66308</v>
      </c>
      <c r="W8" s="110">
        <f>Fairmont!U8</f>
        <v>96881</v>
      </c>
      <c r="X8" s="110">
        <f>FergusFalls!U8</f>
        <v>3950</v>
      </c>
      <c r="Y8" s="110">
        <f>'GKWMLL Sanitary'!U8</f>
        <v>19700</v>
      </c>
      <c r="Z8" s="110"/>
      <c r="AA8" s="110">
        <f>Glenwood!U8</f>
        <v>22649</v>
      </c>
      <c r="AB8" s="110">
        <f>'Grand Rapids'!U8</f>
        <v>11</v>
      </c>
      <c r="AC8" s="110">
        <f>Hennepin!U8</f>
        <v>4004639</v>
      </c>
      <c r="AD8" s="110">
        <f>Hermantown!U8</f>
        <v>298852</v>
      </c>
      <c r="AE8" s="110">
        <f>Hutchinson!U8</f>
        <v>153300</v>
      </c>
      <c r="AF8" s="110">
        <f>'Int. Falls'!U8</f>
        <v>95832</v>
      </c>
      <c r="AG8" s="110">
        <f>'Itasca Cty'!U8</f>
        <v>77</v>
      </c>
      <c r="AH8" s="110"/>
      <c r="AI8" s="110"/>
      <c r="AJ8" s="110">
        <f>Lanesboro!U8</f>
        <v>4469</v>
      </c>
      <c r="AK8" s="110">
        <f>Litchfield!U8</f>
        <v>0</v>
      </c>
      <c r="AL8" s="110"/>
      <c r="AM8" s="110">
        <f>Mankato!U8</f>
        <v>621169</v>
      </c>
      <c r="AN8" s="110">
        <f>'Maple Grove'!U8</f>
        <v>104</v>
      </c>
      <c r="AO8" s="110">
        <f>Marshall!U8</f>
        <v>149349</v>
      </c>
      <c r="AP8" s="110">
        <f>Medford!U8</f>
        <v>29334</v>
      </c>
      <c r="AQ8" s="110">
        <f>'Metro Housing'!U8</f>
        <v>0</v>
      </c>
      <c r="AR8" s="110">
        <f>Minneapolis!U7</f>
        <v>3536689</v>
      </c>
      <c r="AS8" s="110">
        <f>Moorhead!U8</f>
        <v>274</v>
      </c>
      <c r="AT8" s="110">
        <f>'Moose Lake'!U8</f>
        <v>19895</v>
      </c>
      <c r="AU8" s="110">
        <f>'New London'!U8</f>
        <v>9336</v>
      </c>
      <c r="AV8" s="110">
        <f>'New Ulm'!U8</f>
        <v>140452</v>
      </c>
      <c r="AW8" s="110">
        <f>'North Mankato'!U8</f>
        <v>83070</v>
      </c>
      <c r="AX8" s="110">
        <f>Oakdale!U8</f>
        <v>0</v>
      </c>
      <c r="AY8" s="110">
        <f>Owatonna!U8</f>
        <v>0</v>
      </c>
      <c r="AZ8" s="110">
        <f>Perham!U8</f>
        <v>55222</v>
      </c>
      <c r="BA8" s="110">
        <f>Proctor!U8</f>
        <v>47761</v>
      </c>
      <c r="BB8" s="110">
        <f>Rochester!U8</f>
        <v>1956177</v>
      </c>
      <c r="BC8" s="110">
        <f>Rogers!U8</f>
        <v>121378</v>
      </c>
      <c r="BD8" s="110">
        <f>'Sauk Centre'!U8</f>
        <v>50631</v>
      </c>
      <c r="BE8" s="110">
        <f>Scanlon!U8</f>
        <v>7860</v>
      </c>
      <c r="BF8" s="110">
        <f>Spicer!U8</f>
        <v>15410</v>
      </c>
      <c r="BG8" s="110">
        <f>Staples!U8</f>
        <v>0</v>
      </c>
      <c r="BH8" s="110">
        <f>'St. Cloud Area'!U8</f>
        <v>1102649</v>
      </c>
      <c r="BI8" s="110">
        <f>'St. Paul'!U8</f>
        <v>1928518</v>
      </c>
      <c r="BJ8" s="110">
        <f>'St Peter'!U8</f>
        <v>49202</v>
      </c>
      <c r="BK8" s="110">
        <f>'Two Harbors'!U8</f>
        <v>59093</v>
      </c>
      <c r="BL8" s="110">
        <f>Virginia!U8</f>
        <v>192324</v>
      </c>
      <c r="BM8" s="110">
        <f>'Waite Park'!U8</f>
        <v>750</v>
      </c>
      <c r="BN8" s="110">
        <f>Walker!U8</f>
        <v>52766</v>
      </c>
      <c r="BO8" s="110">
        <f>Warren!U8</f>
        <v>0</v>
      </c>
      <c r="BP8" s="110">
        <f>'West St. Paul'!U8</f>
        <v>176128</v>
      </c>
      <c r="BQ8" s="110">
        <f>Willmar!U8</f>
        <v>233076</v>
      </c>
      <c r="BR8" s="110"/>
      <c r="BS8" s="110">
        <f>Worthington!U8</f>
        <v>100720</v>
      </c>
      <c r="BT8" s="110"/>
      <c r="BU8" s="2">
        <f t="shared" si="0"/>
        <v>20031652</v>
      </c>
    </row>
    <row r="9" spans="1:73" x14ac:dyDescent="0.2">
      <c r="A9">
        <v>2023</v>
      </c>
      <c r="B9" s="26" t="s">
        <v>4</v>
      </c>
      <c r="C9" s="111">
        <f>'Albert Lea'!U9</f>
        <v>158452</v>
      </c>
      <c r="D9" s="111">
        <f>Austin!U9</f>
        <v>163822</v>
      </c>
      <c r="E9" s="111">
        <f>Avon!U9</f>
        <v>23701</v>
      </c>
      <c r="F9" s="111">
        <f>Baxter!U9</f>
        <v>262930</v>
      </c>
      <c r="G9" s="110">
        <f>Bemidji!U9</f>
        <v>237847</v>
      </c>
      <c r="H9" s="110"/>
      <c r="I9" s="110">
        <f>'Blue Earth'!U9</f>
        <v>34595</v>
      </c>
      <c r="J9" s="110">
        <f>Brainerd!U9</f>
        <v>100662</v>
      </c>
      <c r="K9" s="110"/>
      <c r="L9" s="110">
        <f>Cambridge!U9</f>
        <v>146301</v>
      </c>
      <c r="M9" s="110">
        <f>'Clay Cty'!U9</f>
        <v>321207</v>
      </c>
      <c r="N9" s="110">
        <f>Clearwater!U9</f>
        <v>23852</v>
      </c>
      <c r="O9" s="110">
        <f>Cloquet!U9</f>
        <v>166572</v>
      </c>
      <c r="P9" s="110">
        <f>'Cook Cty'!U9</f>
        <v>112186</v>
      </c>
      <c r="Q9" s="110">
        <f>'Detroit Lakes'!U8</f>
        <v>142771</v>
      </c>
      <c r="R9" s="110">
        <f>Duluth!U9</f>
        <v>2134625</v>
      </c>
      <c r="S9" s="110">
        <f>'East Grand Forks'!U9</f>
        <v>5</v>
      </c>
      <c r="T9" s="110">
        <f>Edina!U9</f>
        <v>506929</v>
      </c>
      <c r="U9" s="110">
        <f>'Elk River'!U9</f>
        <v>257722</v>
      </c>
      <c r="V9" s="110">
        <f>Excelsior!U9</f>
        <v>57212</v>
      </c>
      <c r="W9" s="110">
        <f>Fairmont!U9</f>
        <v>90540</v>
      </c>
      <c r="X9" s="110">
        <f>FergusFalls!U9</f>
        <v>1648</v>
      </c>
      <c r="Y9" s="110">
        <f>'GKWMLL Sanitary'!U9</f>
        <v>18167</v>
      </c>
      <c r="Z9" s="110"/>
      <c r="AA9" s="110">
        <f>Glenwood!U9</f>
        <v>22257</v>
      </c>
      <c r="AB9" s="110">
        <f>'Grand Rapids'!U9</f>
        <v>131207</v>
      </c>
      <c r="AC9" s="110">
        <f>Hennepin!U9</f>
        <v>3578561</v>
      </c>
      <c r="AD9" s="110">
        <f>Hermantown!U9</f>
        <v>431934</v>
      </c>
      <c r="AE9" s="110">
        <f>Hutchinson!U9</f>
        <v>156011</v>
      </c>
      <c r="AF9" s="110">
        <f>'Int. Falls'!U9</f>
        <v>94548</v>
      </c>
      <c r="AG9" s="110">
        <f>'Itasca Cty'!U9</f>
        <v>467740</v>
      </c>
      <c r="AH9" s="110"/>
      <c r="AI9" s="110"/>
      <c r="AJ9" s="110">
        <f>Lanesboro!U9</f>
        <v>4856</v>
      </c>
      <c r="AK9" s="110">
        <f>Litchfield!U9</f>
        <v>0</v>
      </c>
      <c r="AL9" s="110"/>
      <c r="AM9" s="110">
        <f>Mankato!U9</f>
        <v>531429</v>
      </c>
      <c r="AN9" s="110">
        <f>'Maple Grove'!U9</f>
        <v>611447</v>
      </c>
      <c r="AO9" s="110">
        <f>Marshall!U9</f>
        <v>154047</v>
      </c>
      <c r="AP9" s="110">
        <f>Medford!U9</f>
        <v>8422</v>
      </c>
      <c r="AQ9" s="110">
        <f>'Metro Housing'!U9</f>
        <v>0</v>
      </c>
      <c r="AR9" s="110">
        <f>Minneapolis!U8</f>
        <v>3387508</v>
      </c>
      <c r="AS9" s="110">
        <f>Moorhead!U9</f>
        <v>189077</v>
      </c>
      <c r="AT9" s="110">
        <f>'Moose Lake'!U9</f>
        <v>19493</v>
      </c>
      <c r="AU9" s="110">
        <f>'New London'!U9</f>
        <v>9270</v>
      </c>
      <c r="AV9" s="110">
        <f>'New Ulm'!U9</f>
        <v>136135</v>
      </c>
      <c r="AW9" s="110">
        <f>'North Mankato'!U9</f>
        <v>81352</v>
      </c>
      <c r="AX9" s="110">
        <f>Oakdale!U9</f>
        <v>184657</v>
      </c>
      <c r="AY9" s="110">
        <f>Owatonna!U9</f>
        <v>0</v>
      </c>
      <c r="AZ9" s="110">
        <f>Perham!U9</f>
        <v>54405</v>
      </c>
      <c r="BA9" s="110">
        <f>Proctor!U9</f>
        <v>27432</v>
      </c>
      <c r="BB9" s="110">
        <f>Rochester!U9</f>
        <v>1751010</v>
      </c>
      <c r="BC9" s="110">
        <f>Rogers!U9</f>
        <v>108178</v>
      </c>
      <c r="BD9" s="110">
        <f>'Sauk Centre'!U9</f>
        <v>49111</v>
      </c>
      <c r="BE9" s="110">
        <f>Scanlon!U9</f>
        <v>6813</v>
      </c>
      <c r="BF9" s="110">
        <f>Spicer!U9</f>
        <v>17305</v>
      </c>
      <c r="BG9" s="110">
        <f>Staples!U9</f>
        <v>13332</v>
      </c>
      <c r="BH9" s="110">
        <f>'St. Cloud Area'!U9</f>
        <v>1094285</v>
      </c>
      <c r="BI9" s="110">
        <f>'St. Paul'!U9</f>
        <v>1734683</v>
      </c>
      <c r="BJ9" s="110">
        <f>'St Peter'!U9</f>
        <v>47293</v>
      </c>
      <c r="BK9" s="110">
        <f>'Two Harbors'!U9</f>
        <v>52636</v>
      </c>
      <c r="BL9" s="110">
        <f>Virginia!U9</f>
        <v>173265</v>
      </c>
      <c r="BM9" s="110">
        <f>'Waite Park'!U9</f>
        <v>167078</v>
      </c>
      <c r="BN9" s="110">
        <f>Walker!U9</f>
        <v>73696</v>
      </c>
      <c r="BO9" s="110">
        <f>Warren!U9</f>
        <v>7811</v>
      </c>
      <c r="BP9" s="110">
        <f>'West St. Paul'!U9</f>
        <v>166325</v>
      </c>
      <c r="BQ9" s="110">
        <f>Willmar!U9</f>
        <v>224546</v>
      </c>
      <c r="BR9" s="110"/>
      <c r="BS9" s="110">
        <f>Worthington!U9</f>
        <v>104989</v>
      </c>
      <c r="BT9" s="110"/>
      <c r="BU9" s="2">
        <f>SUM(C9:BT9)</f>
        <v>21035890</v>
      </c>
    </row>
    <row r="10" spans="1:73" x14ac:dyDescent="0.2">
      <c r="A10">
        <v>2023</v>
      </c>
      <c r="B10" s="26" t="s">
        <v>5</v>
      </c>
      <c r="C10" s="111">
        <f>'Albert Lea'!U10</f>
        <v>176030</v>
      </c>
      <c r="D10" s="111">
        <f>Austin!U10</f>
        <v>162990</v>
      </c>
      <c r="E10" s="111">
        <f>Avon!U10</f>
        <v>30734</v>
      </c>
      <c r="F10" s="111">
        <f>Baxter!U10</f>
        <v>318667</v>
      </c>
      <c r="G10" s="110">
        <f>Bemidji!U10</f>
        <v>294561</v>
      </c>
      <c r="H10" s="110"/>
      <c r="I10" s="110">
        <f>'Blue Earth'!U10</f>
        <v>40358</v>
      </c>
      <c r="J10" s="110">
        <f>Brainerd!U10</f>
        <v>128508</v>
      </c>
      <c r="K10" s="110"/>
      <c r="L10" s="110">
        <f>Cambridge!U10</f>
        <v>173184</v>
      </c>
      <c r="M10" s="110">
        <f>'Clay Cty'!U10</f>
        <v>390939</v>
      </c>
      <c r="N10" s="110">
        <f>Clearwater!U10</f>
        <v>35931</v>
      </c>
      <c r="O10" s="110">
        <f>Cloquet!U10</f>
        <v>225040</v>
      </c>
      <c r="P10" s="110">
        <f>'Cook Cty'!U10</f>
        <v>166178</v>
      </c>
      <c r="Q10" s="110">
        <f>'Detroit Lakes'!U9</f>
        <v>204085</v>
      </c>
      <c r="R10" s="110">
        <f>Duluth!U10</f>
        <v>2392235</v>
      </c>
      <c r="S10" s="110">
        <f>'East Grand Forks'!U10</f>
        <v>15</v>
      </c>
      <c r="T10" s="110">
        <f>Edina!U10</f>
        <v>558779</v>
      </c>
      <c r="U10" s="110">
        <f>'Elk River'!U10</f>
        <v>367904</v>
      </c>
      <c r="V10" s="110">
        <f>Excelsior!U10</f>
        <v>86757</v>
      </c>
      <c r="W10" s="110">
        <f>Fairmont!U10</f>
        <v>105309</v>
      </c>
      <c r="X10" s="110">
        <f>FergusFalls!U10</f>
        <v>570</v>
      </c>
      <c r="Y10" s="110">
        <f>'GKWMLL Sanitary'!U10</f>
        <v>24929</v>
      </c>
      <c r="Z10" s="110"/>
      <c r="AA10" s="110">
        <f>Glenwood!U10</f>
        <v>29372</v>
      </c>
      <c r="AB10" s="110">
        <f>'Grand Rapids'!U10</f>
        <v>183472</v>
      </c>
      <c r="AC10" s="110">
        <f>Hennepin!U10</f>
        <v>3941526</v>
      </c>
      <c r="AD10" s="110">
        <f>Hermantown!U10</f>
        <v>577675</v>
      </c>
      <c r="AE10" s="110">
        <f>Hutchinson!U10</f>
        <v>165323</v>
      </c>
      <c r="AF10" s="110">
        <f>'Int. Falls'!U10</f>
        <v>131072</v>
      </c>
      <c r="AG10" s="110">
        <f>'Itasca Cty'!U10</f>
        <v>674722</v>
      </c>
      <c r="AH10" s="110"/>
      <c r="AI10" s="110"/>
      <c r="AJ10" s="110">
        <f>Lanesboro!U10</f>
        <v>5907</v>
      </c>
      <c r="AK10" s="110">
        <f>Litchfield!U10</f>
        <v>0</v>
      </c>
      <c r="AL10" s="110"/>
      <c r="AM10" s="110">
        <f>Mankato!U10</f>
        <v>585555</v>
      </c>
      <c r="AN10" s="110">
        <f>'Maple Grove'!U10</f>
        <v>719080</v>
      </c>
      <c r="AO10" s="110">
        <f>Marshall!U10</f>
        <v>195954</v>
      </c>
      <c r="AP10" s="110">
        <f>Medford!U10</f>
        <v>11742</v>
      </c>
      <c r="AQ10" s="110">
        <f>'Metro Housing'!U10</f>
        <v>0</v>
      </c>
      <c r="AR10" s="110">
        <f>Minneapolis!U9</f>
        <v>3274592</v>
      </c>
      <c r="AS10" s="110">
        <f>Moorhead!U10</f>
        <v>231556</v>
      </c>
      <c r="AT10" s="110">
        <f>'Moose Lake'!U10</f>
        <v>27820</v>
      </c>
      <c r="AU10" s="110">
        <f>'New London'!U10</f>
        <v>11178</v>
      </c>
      <c r="AV10" s="110">
        <f>'New Ulm'!U10</f>
        <v>139342</v>
      </c>
      <c r="AW10" s="110">
        <f>'North Mankato'!U10</f>
        <v>86373</v>
      </c>
      <c r="AX10" s="110">
        <f>Oakdale!U10</f>
        <v>213418</v>
      </c>
      <c r="AY10" s="110">
        <f>Owatonna!U10</f>
        <v>0</v>
      </c>
      <c r="AZ10" s="110">
        <f>Perham!U10</f>
        <v>73788</v>
      </c>
      <c r="BA10" s="110">
        <f>Proctor!U10</f>
        <v>32872</v>
      </c>
      <c r="BB10" s="110">
        <f>Rochester!U10</f>
        <v>1923693</v>
      </c>
      <c r="BC10" s="110">
        <f>Rogers!U10</f>
        <v>136368</v>
      </c>
      <c r="BD10" s="110">
        <f>'Sauk Centre'!U10</f>
        <v>60305</v>
      </c>
      <c r="BE10" s="110">
        <f>Scanlon!U10</f>
        <v>8450</v>
      </c>
      <c r="BF10" s="110">
        <f>Spicer!U10</f>
        <v>26038</v>
      </c>
      <c r="BG10" s="110">
        <f>Staples!U10</f>
        <v>17624</v>
      </c>
      <c r="BH10" s="110">
        <f>'St. Cloud Area'!U10</f>
        <v>1245169</v>
      </c>
      <c r="BI10" s="110">
        <f>'St. Paul'!U10</f>
        <v>1783594</v>
      </c>
      <c r="BJ10" s="110">
        <f>'St Peter'!U10</f>
        <v>58034</v>
      </c>
      <c r="BK10" s="110">
        <f>'Two Harbors'!U10</f>
        <v>75033</v>
      </c>
      <c r="BL10" s="110">
        <f>Virginia!U10</f>
        <v>241165</v>
      </c>
      <c r="BM10" s="110">
        <f>'Waite Park'!U10</f>
        <v>230354</v>
      </c>
      <c r="BN10" s="110">
        <f>Walker!U10</f>
        <v>64072</v>
      </c>
      <c r="BO10" s="110">
        <f>Warren!U10</f>
        <v>7791</v>
      </c>
      <c r="BP10" s="110">
        <f>'West St. Paul'!U10</f>
        <v>190094</v>
      </c>
      <c r="BQ10" s="110">
        <f>Willmar!U10</f>
        <v>265922</v>
      </c>
      <c r="BR10" s="110"/>
      <c r="BS10" s="110">
        <f>Worthington!U10</f>
        <v>120058</v>
      </c>
      <c r="BT10" s="110"/>
      <c r="BU10" s="2">
        <f t="shared" si="0"/>
        <v>23649806</v>
      </c>
    </row>
    <row r="11" spans="1:73" x14ac:dyDescent="0.2">
      <c r="A11">
        <v>2023</v>
      </c>
      <c r="B11" s="26" t="s">
        <v>6</v>
      </c>
      <c r="C11" s="111">
        <f>'Albert Lea'!U11</f>
        <v>177472</v>
      </c>
      <c r="D11" s="111">
        <f>Austin!U11</f>
        <v>170016</v>
      </c>
      <c r="E11" s="111">
        <f>Avon!U11</f>
        <v>34902</v>
      </c>
      <c r="F11" s="111">
        <f>Baxter!U11</f>
        <v>360986</v>
      </c>
      <c r="G11" s="110">
        <f>Bemidji!U11</f>
        <v>319095</v>
      </c>
      <c r="H11" s="110"/>
      <c r="I11" s="110">
        <f>'Blue Earth'!U11</f>
        <v>45016</v>
      </c>
      <c r="J11" s="110">
        <f>Brainerd!U11</f>
        <v>145196</v>
      </c>
      <c r="K11" s="110"/>
      <c r="L11" s="110">
        <f>Cambridge!U11</f>
        <v>178995</v>
      </c>
      <c r="M11" s="110">
        <f>'Clay Cty'!U11</f>
        <v>436780</v>
      </c>
      <c r="N11" s="110">
        <f>Clearwater!U11</f>
        <v>35221</v>
      </c>
      <c r="O11" s="110">
        <f>Cloquet!U11</f>
        <v>228694</v>
      </c>
      <c r="P11" s="110">
        <f>'Cook Cty'!U11</f>
        <v>255481</v>
      </c>
      <c r="Q11" s="110">
        <f>'Detroit Lakes'!U10</f>
        <v>217828</v>
      </c>
      <c r="R11" s="110">
        <f>Duluth!U11</f>
        <v>2773536</v>
      </c>
      <c r="S11" s="110">
        <f>'East Grand Forks'!U11</f>
        <v>426</v>
      </c>
      <c r="T11" s="110">
        <f>Edina!U11</f>
        <v>655253</v>
      </c>
      <c r="U11" s="110">
        <f>'Elk River'!U11</f>
        <v>354600</v>
      </c>
      <c r="V11" s="110">
        <f>Excelsior!U11</f>
        <v>106113</v>
      </c>
      <c r="W11" s="110">
        <f>Fairmont!U11</f>
        <v>106236</v>
      </c>
      <c r="X11" s="110">
        <f>FergusFalls!U11</f>
        <v>258</v>
      </c>
      <c r="Y11" s="110">
        <f>'GKWMLL Sanitary'!U11</f>
        <v>28740</v>
      </c>
      <c r="Z11" s="110"/>
      <c r="AA11" s="110">
        <f>Glenwood!U11</f>
        <v>31093</v>
      </c>
      <c r="AB11" s="110">
        <f>'Grand Rapids'!U11</f>
        <v>193683</v>
      </c>
      <c r="AC11" s="110">
        <f>Hennepin!U11</f>
        <v>4522857</v>
      </c>
      <c r="AD11" s="110">
        <f>Hermantown!U11</f>
        <v>603519</v>
      </c>
      <c r="AE11" s="110">
        <f>Hutchinson!U11</f>
        <v>177478</v>
      </c>
      <c r="AF11" s="110">
        <f>'Int. Falls'!U11</f>
        <v>160968</v>
      </c>
      <c r="AG11" s="110">
        <f>'Itasca Cty'!U11</f>
        <v>750065</v>
      </c>
      <c r="AH11" s="110"/>
      <c r="AI11" s="110"/>
      <c r="AJ11" s="110">
        <f>Lanesboro!U11</f>
        <v>8891</v>
      </c>
      <c r="AK11" s="110">
        <f>Litchfield!U11</f>
        <v>0</v>
      </c>
      <c r="AL11" s="110"/>
      <c r="AM11" s="110">
        <f>Mankato!U11</f>
        <v>650906</v>
      </c>
      <c r="AN11" s="110">
        <f>'Maple Grove'!U11</f>
        <v>794645</v>
      </c>
      <c r="AO11" s="110">
        <f>Marshall!U11</f>
        <v>162382</v>
      </c>
      <c r="AP11" s="110">
        <f>Medford!U11</f>
        <v>28718</v>
      </c>
      <c r="AQ11" s="110">
        <f>'Metro Housing'!U11</f>
        <v>0</v>
      </c>
      <c r="AR11" s="110">
        <f>Minneapolis!U10</f>
        <v>4508579</v>
      </c>
      <c r="AS11" s="110">
        <f>Moorhead!U11</f>
        <v>243479</v>
      </c>
      <c r="AT11" s="110">
        <f>'Moose Lake'!U11</f>
        <v>27691</v>
      </c>
      <c r="AU11" s="110">
        <f>'New London'!U11</f>
        <v>14499</v>
      </c>
      <c r="AV11" s="110">
        <f>'New Ulm'!U11</f>
        <v>148281</v>
      </c>
      <c r="AW11" s="110">
        <f>'North Mankato'!U11</f>
        <v>88351</v>
      </c>
      <c r="AX11" s="110">
        <f>Oakdale!U11</f>
        <v>230833</v>
      </c>
      <c r="AY11" s="110">
        <f>Owatonna!U11</f>
        <v>0</v>
      </c>
      <c r="AZ11" s="110">
        <f>Perham!U11</f>
        <v>85736</v>
      </c>
      <c r="BA11" s="110">
        <f>Proctor!U11</f>
        <v>46072</v>
      </c>
      <c r="BB11" s="110">
        <f>Rochester!U11</f>
        <v>2028678</v>
      </c>
      <c r="BC11" s="110">
        <f>Rogers!U11</f>
        <v>134783</v>
      </c>
      <c r="BD11" s="110">
        <f>'Sauk Centre'!U11</f>
        <v>66455</v>
      </c>
      <c r="BE11" s="110">
        <f>Scanlon!U11</f>
        <v>8976</v>
      </c>
      <c r="BF11" s="110">
        <f>Spicer!U11</f>
        <v>32442</v>
      </c>
      <c r="BG11" s="110">
        <f>Staples!U11</f>
        <v>23168</v>
      </c>
      <c r="BH11" s="110">
        <f>'St. Cloud Area'!U11</f>
        <v>1292428</v>
      </c>
      <c r="BI11" s="110">
        <f>'St. Paul'!U11</f>
        <v>2054045</v>
      </c>
      <c r="BJ11" s="110">
        <f>'St Peter'!U11</f>
        <v>59160</v>
      </c>
      <c r="BK11" s="110">
        <f>'Two Harbors'!U11</f>
        <v>92481</v>
      </c>
      <c r="BL11" s="110">
        <f>Virginia!U11</f>
        <v>246167</v>
      </c>
      <c r="BM11" s="110">
        <f>'Waite Park'!U11</f>
        <v>223558</v>
      </c>
      <c r="BN11" s="110">
        <f>Walker!U11</f>
        <v>122473</v>
      </c>
      <c r="BO11" s="110">
        <f>Warren!U11</f>
        <v>10140</v>
      </c>
      <c r="BP11" s="110">
        <f>'West St. Paul'!U11</f>
        <v>198456</v>
      </c>
      <c r="BQ11" s="110">
        <f>Willmar!U11</f>
        <v>269771</v>
      </c>
      <c r="BR11" s="110"/>
      <c r="BS11" s="110">
        <f>Worthington!U11</f>
        <v>117680</v>
      </c>
      <c r="BT11" s="110"/>
      <c r="BU11" s="2">
        <f>SUM(C11:BT11)</f>
        <v>27090431</v>
      </c>
    </row>
    <row r="12" spans="1:73" x14ac:dyDescent="0.2">
      <c r="A12">
        <v>2023</v>
      </c>
      <c r="B12" s="26" t="s">
        <v>7</v>
      </c>
      <c r="C12" s="111">
        <f>'Albert Lea'!U12</f>
        <v>171920</v>
      </c>
      <c r="D12" s="111">
        <f>Austin!U12</f>
        <v>165522</v>
      </c>
      <c r="E12" s="111">
        <f>Avon!U12</f>
        <v>32824</v>
      </c>
      <c r="F12" s="111">
        <f>Baxter!U12</f>
        <v>332100</v>
      </c>
      <c r="G12" s="110">
        <f>Bemidji!U12</f>
        <v>301729</v>
      </c>
      <c r="H12" s="110"/>
      <c r="I12" s="110">
        <f>'Blue Earth'!U12</f>
        <v>37623</v>
      </c>
      <c r="J12" s="110">
        <f>Brainerd!U12</f>
        <v>121866</v>
      </c>
      <c r="K12" s="110"/>
      <c r="L12" s="110">
        <f>Cambridge!U12</f>
        <v>154794</v>
      </c>
      <c r="M12" s="110">
        <f>'Clay Cty'!U12</f>
        <v>362232</v>
      </c>
      <c r="N12" s="110">
        <f>Clearwater!U12</f>
        <v>30510</v>
      </c>
      <c r="O12" s="110">
        <f>Cloquet!U12</f>
        <v>215707</v>
      </c>
      <c r="P12" s="110">
        <f>'Cook Cty'!U12</f>
        <v>291574</v>
      </c>
      <c r="Q12" s="110">
        <f>'Detroit Lakes'!U11</f>
        <v>941</v>
      </c>
      <c r="R12" s="110">
        <f>Duluth!U12</f>
        <v>2669053</v>
      </c>
      <c r="S12" s="110">
        <f>'East Grand Forks'!U12</f>
        <v>37</v>
      </c>
      <c r="T12" s="110">
        <f>Edina!U12</f>
        <v>555712</v>
      </c>
      <c r="U12" s="110">
        <f>'Elk River'!U12</f>
        <v>293647</v>
      </c>
      <c r="V12" s="110">
        <f>Excelsior!U12</f>
        <v>84506</v>
      </c>
      <c r="W12" s="110">
        <f>Fairmont!U12</f>
        <v>97763</v>
      </c>
      <c r="X12" s="110">
        <f>FergusFalls!U12</f>
        <v>171</v>
      </c>
      <c r="Y12" s="110">
        <f>'GKWMLL Sanitary'!U12</f>
        <v>30385</v>
      </c>
      <c r="Z12" s="110"/>
      <c r="AA12" s="110">
        <f>Glenwood!U12</f>
        <v>31425</v>
      </c>
      <c r="AB12" s="110">
        <f>'Grand Rapids'!U12</f>
        <v>185208</v>
      </c>
      <c r="AC12" s="110">
        <f>Hennepin!U12</f>
        <v>3905781</v>
      </c>
      <c r="AD12" s="110">
        <f>Hermantown!U12</f>
        <v>539254</v>
      </c>
      <c r="AE12" s="110">
        <f>Hutchinson!U12</f>
        <v>148828</v>
      </c>
      <c r="AF12" s="110">
        <f>'Int. Falls'!U12</f>
        <v>135959</v>
      </c>
      <c r="AG12" s="110">
        <f>'Itasca Cty'!U12</f>
        <v>729487</v>
      </c>
      <c r="AH12" s="110"/>
      <c r="AI12" s="110"/>
      <c r="AJ12" s="110">
        <f>Lanesboro!U12</f>
        <v>8558</v>
      </c>
      <c r="AK12" s="110">
        <f>Litchfield!U12</f>
        <v>47616</v>
      </c>
      <c r="AL12" s="110"/>
      <c r="AM12" s="110">
        <f>Mankato!U12</f>
        <v>563288</v>
      </c>
      <c r="AN12" s="110">
        <f>'Maple Grove'!U12</f>
        <v>752007</v>
      </c>
      <c r="AO12" s="110">
        <f>Marshall!U12</f>
        <v>159632</v>
      </c>
      <c r="AP12" s="110">
        <f>Medford!U12</f>
        <v>10837</v>
      </c>
      <c r="AQ12" s="110">
        <f>'Metro Housing'!U12</f>
        <v>0</v>
      </c>
      <c r="AR12" s="110">
        <f>Minneapolis!U11</f>
        <v>3306473</v>
      </c>
      <c r="AS12" s="110">
        <f>Moorhead!U12</f>
        <v>212969</v>
      </c>
      <c r="AT12" s="110">
        <f>'Moose Lake'!U12</f>
        <v>25595</v>
      </c>
      <c r="AU12" s="110">
        <f>'New London'!U12</f>
        <v>11741</v>
      </c>
      <c r="AV12" s="110">
        <f>'New Ulm'!U12</f>
        <v>130969</v>
      </c>
      <c r="AW12" s="110">
        <f>'North Mankato'!U12</f>
        <v>79168</v>
      </c>
      <c r="AX12" s="110">
        <f>Oakdale!U12</f>
        <v>214900</v>
      </c>
      <c r="AY12" s="110">
        <f>Owatonna!U12</f>
        <v>0</v>
      </c>
      <c r="AZ12" s="110">
        <f>Perham!U12</f>
        <v>72510</v>
      </c>
      <c r="BA12" s="110">
        <f>Proctor!U12</f>
        <v>36009</v>
      </c>
      <c r="BB12" s="110">
        <f>Rochester!U12</f>
        <v>1815688</v>
      </c>
      <c r="BC12" s="110">
        <f>Rogers!U12</f>
        <v>124351</v>
      </c>
      <c r="BD12" s="110">
        <f>'Sauk Centre'!U12</f>
        <v>58906</v>
      </c>
      <c r="BE12" s="110">
        <f>Scanlon!U12</f>
        <v>8156</v>
      </c>
      <c r="BF12" s="110">
        <f>Spicer!U12</f>
        <v>31859</v>
      </c>
      <c r="BG12" s="110">
        <f>Staples!U12</f>
        <v>17557</v>
      </c>
      <c r="BH12" s="110">
        <f>'St. Cloud Area'!U12</f>
        <v>1118940</v>
      </c>
      <c r="BI12" s="110">
        <f>'St. Paul'!U12</f>
        <v>1747111</v>
      </c>
      <c r="BJ12" s="110">
        <f>'St Peter'!U12</f>
        <v>53576</v>
      </c>
      <c r="BK12" s="110">
        <f>'Two Harbors'!U12</f>
        <v>101681</v>
      </c>
      <c r="BL12" s="110">
        <f>Virginia!U12</f>
        <v>212657</v>
      </c>
      <c r="BM12" s="110">
        <f>'Waite Park'!U12</f>
        <v>220596</v>
      </c>
      <c r="BN12" s="110">
        <f>Walker!U12</f>
        <v>104859</v>
      </c>
      <c r="BO12" s="110">
        <f>Warren!U12</f>
        <v>8595</v>
      </c>
      <c r="BP12" s="110">
        <f>'West St. Paul'!U12</f>
        <v>176576</v>
      </c>
      <c r="BQ12" s="110">
        <f>Willmar!U12</f>
        <v>235856</v>
      </c>
      <c r="BR12" s="110"/>
      <c r="BS12" s="110">
        <f>Worthington!U12</f>
        <v>95821</v>
      </c>
      <c r="BT12" s="110"/>
      <c r="BU12" s="2">
        <f t="shared" si="0"/>
        <v>23391615</v>
      </c>
    </row>
    <row r="13" spans="1:73" x14ac:dyDescent="0.2">
      <c r="A13">
        <v>2023</v>
      </c>
      <c r="B13" s="26" t="s">
        <v>8</v>
      </c>
      <c r="C13" s="111">
        <f>'Albert Lea'!U13</f>
        <v>177511</v>
      </c>
      <c r="D13" s="111">
        <f>Austin!U13</f>
        <v>164724</v>
      </c>
      <c r="E13" s="111">
        <f>Avon!U13</f>
        <v>31908</v>
      </c>
      <c r="F13" s="111">
        <f>Baxter!U13</f>
        <v>354555</v>
      </c>
      <c r="G13" s="110">
        <f>Bemidji!U13</f>
        <v>289864</v>
      </c>
      <c r="H13" s="110"/>
      <c r="I13" s="110">
        <f>'Blue Earth'!U13</f>
        <v>39057</v>
      </c>
      <c r="J13" s="110">
        <f>Brainerd!U13</f>
        <v>125861</v>
      </c>
      <c r="K13" s="110"/>
      <c r="L13" s="110">
        <f>Cambridge!U13</f>
        <v>161074</v>
      </c>
      <c r="M13" s="110">
        <f>'Clay Cty'!U13</f>
        <v>396496</v>
      </c>
      <c r="N13" s="110">
        <f>Clearwater!U13</f>
        <v>35731</v>
      </c>
      <c r="O13" s="110">
        <f>Cloquet!U13</f>
        <v>208285</v>
      </c>
      <c r="P13" s="110">
        <f>'Cook Cty'!U13</f>
        <v>286409</v>
      </c>
      <c r="Q13" s="110">
        <f>'Detroit Lakes'!U12</f>
        <v>370</v>
      </c>
      <c r="R13" s="110">
        <f>Duluth!U13</f>
        <v>2727009</v>
      </c>
      <c r="S13" s="110">
        <f>'East Grand Forks'!U13</f>
        <v>4</v>
      </c>
      <c r="T13" s="110">
        <f>Edina!U13</f>
        <v>598542</v>
      </c>
      <c r="U13" s="110">
        <f>'Elk River'!U13</f>
        <v>343028</v>
      </c>
      <c r="V13" s="110">
        <f>Excelsior!U13</f>
        <v>73600</v>
      </c>
      <c r="W13" s="110">
        <f>Fairmont!U13</f>
        <v>100676</v>
      </c>
      <c r="X13" s="110">
        <f>FergusFalls!U13</f>
        <v>87</v>
      </c>
      <c r="Y13" s="110">
        <f>'GKWMLL Sanitary'!U13</f>
        <v>26184</v>
      </c>
      <c r="Z13" s="110"/>
      <c r="AA13" s="110">
        <f>Glenwood!U13</f>
        <v>29591</v>
      </c>
      <c r="AB13" s="110">
        <f>'Grand Rapids'!U13</f>
        <v>176101</v>
      </c>
      <c r="AC13" s="110">
        <f>Hennepin!U13</f>
        <v>4177664</v>
      </c>
      <c r="AD13" s="110">
        <f>Hermantown!U13</f>
        <v>542513</v>
      </c>
      <c r="AE13" s="110">
        <f>Hutchinson!U13</f>
        <v>152085</v>
      </c>
      <c r="AF13" s="110">
        <f>'Int. Falls'!U13</f>
        <v>153836</v>
      </c>
      <c r="AG13" s="110">
        <f>'Itasca Cty'!U13</f>
        <v>701359</v>
      </c>
      <c r="AH13" s="110"/>
      <c r="AI13" s="110"/>
      <c r="AJ13" s="110">
        <f>Lanesboro!U13</f>
        <v>7872</v>
      </c>
      <c r="AK13" s="110">
        <f>Litchfield!U13</f>
        <v>52038</v>
      </c>
      <c r="AL13" s="110"/>
      <c r="AM13" s="110">
        <f>Mankato!U13</f>
        <v>584883</v>
      </c>
      <c r="AN13" s="110">
        <f>'Maple Grove'!U13</f>
        <v>814528</v>
      </c>
      <c r="AO13" s="110">
        <f>Marshall!U13</f>
        <v>164129</v>
      </c>
      <c r="AP13" s="110">
        <f>Medford!U13</f>
        <v>12513</v>
      </c>
      <c r="AQ13" s="110">
        <f>'Metro Housing'!U13</f>
        <v>0</v>
      </c>
      <c r="AR13" s="110">
        <f>Minneapolis!U12</f>
        <v>3834567</v>
      </c>
      <c r="AS13" s="110">
        <f>Moorhead!U13</f>
        <v>235650</v>
      </c>
      <c r="AT13" s="110">
        <f>'Moose Lake'!U13</f>
        <v>24374</v>
      </c>
      <c r="AU13" s="110">
        <f>'New London'!U13</f>
        <v>12648</v>
      </c>
      <c r="AV13" s="110">
        <f>'New Ulm'!U13</f>
        <v>135208</v>
      </c>
      <c r="AW13" s="110">
        <f>'North Mankato'!U13</f>
        <v>82498</v>
      </c>
      <c r="AX13" s="110">
        <f>Oakdale!U13</f>
        <v>213473</v>
      </c>
      <c r="AY13" s="110">
        <f>Owatonna!U13</f>
        <v>0</v>
      </c>
      <c r="AZ13" s="110">
        <f>Perham!U13</f>
        <v>84216</v>
      </c>
      <c r="BA13" s="110">
        <f>Proctor!U13</f>
        <v>41476</v>
      </c>
      <c r="BB13" s="110">
        <f>Rochester!U13</f>
        <v>1920490</v>
      </c>
      <c r="BC13" s="110">
        <f>Rogers!U13</f>
        <v>125373</v>
      </c>
      <c r="BD13" s="110">
        <f>'Sauk Centre'!U13</f>
        <v>59553</v>
      </c>
      <c r="BE13" s="110">
        <f>Scanlon!U13</f>
        <v>8518</v>
      </c>
      <c r="BF13" s="110">
        <f>Spicer!U13</f>
        <v>28107</v>
      </c>
      <c r="BG13" s="110">
        <f>Staples!U13</f>
        <v>19930</v>
      </c>
      <c r="BH13" s="110">
        <f>'St. Cloud Area'!U13</f>
        <v>1203255</v>
      </c>
      <c r="BI13" s="110">
        <f>'St. Paul'!U13</f>
        <v>1934073</v>
      </c>
      <c r="BJ13" s="110">
        <f>'St Peter'!U13</f>
        <v>47691</v>
      </c>
      <c r="BK13" s="110">
        <f>'Two Harbors'!U13</f>
        <v>100438</v>
      </c>
      <c r="BL13" s="110">
        <f>Virginia!U13</f>
        <v>232317</v>
      </c>
      <c r="BM13" s="110">
        <f>'Waite Park'!U13</f>
        <v>222359</v>
      </c>
      <c r="BN13" s="110">
        <f>Walker!U13</f>
        <v>93466</v>
      </c>
      <c r="BO13" s="110">
        <f>Warren!U13</f>
        <v>8936</v>
      </c>
      <c r="BP13" s="110">
        <f>'West St. Paul'!U13</f>
        <v>178633</v>
      </c>
      <c r="BQ13" s="110">
        <f>Willmar!U13</f>
        <v>246466</v>
      </c>
      <c r="BR13" s="110"/>
      <c r="BS13" s="110">
        <f>Worthington!U13</f>
        <v>113747</v>
      </c>
      <c r="BT13" s="110"/>
      <c r="BU13" s="2">
        <f t="shared" si="0"/>
        <v>24917549</v>
      </c>
    </row>
    <row r="14" spans="1:73" x14ac:dyDescent="0.2">
      <c r="A14">
        <v>2023</v>
      </c>
      <c r="B14" s="26" t="s">
        <v>9</v>
      </c>
      <c r="C14" s="111">
        <f>'Albert Lea'!U14</f>
        <v>171542</v>
      </c>
      <c r="D14" s="111">
        <f>Austin!U14</f>
        <v>190718</v>
      </c>
      <c r="E14" s="111">
        <f>Avon!U14</f>
        <v>33029</v>
      </c>
      <c r="F14" s="111">
        <f>Baxter!U14</f>
        <v>298883</v>
      </c>
      <c r="G14" s="110">
        <f>Bemidji!U14</f>
        <v>281413</v>
      </c>
      <c r="H14" s="110"/>
      <c r="I14" s="110">
        <f>'Blue Earth'!U14</f>
        <v>42795</v>
      </c>
      <c r="J14" s="110">
        <f>Brainerd!U14</f>
        <v>121844</v>
      </c>
      <c r="K14" s="110"/>
      <c r="L14" s="110">
        <f>Cambridge!U14</f>
        <v>165852</v>
      </c>
      <c r="M14" s="110">
        <f>'Clay Cty'!U14</f>
        <v>404682</v>
      </c>
      <c r="N14" s="110">
        <f>Clearwater!U14</f>
        <v>34609</v>
      </c>
      <c r="O14" s="110">
        <f>Cloquet!U14</f>
        <v>206236</v>
      </c>
      <c r="P14" s="110">
        <f>'Cook Cty'!U14</f>
        <v>286996</v>
      </c>
      <c r="Q14" s="110">
        <f>'Detroit Lakes'!U13</f>
        <v>273</v>
      </c>
      <c r="R14" s="110">
        <f>Duluth!U14</f>
        <v>2651005</v>
      </c>
      <c r="S14" s="110">
        <f>'East Grand Forks'!U14</f>
        <v>-605</v>
      </c>
      <c r="T14" s="110">
        <f>Edina!U14</f>
        <v>611307</v>
      </c>
      <c r="U14" s="110">
        <f>'Elk River'!U14</f>
        <v>402826</v>
      </c>
      <c r="V14" s="110">
        <f>Excelsior!U14</f>
        <v>59636</v>
      </c>
      <c r="W14" s="110">
        <f>Fairmont!U14</f>
        <v>94684</v>
      </c>
      <c r="X14" s="110">
        <f>FergusFalls!U14</f>
        <v>77</v>
      </c>
      <c r="Y14" s="110">
        <f>'GKWMLL Sanitary'!U14</f>
        <v>29481</v>
      </c>
      <c r="Z14" s="110"/>
      <c r="AA14" s="110">
        <f>Glenwood!U14</f>
        <v>29015</v>
      </c>
      <c r="AB14" s="110">
        <f>'Grand Rapids'!U14</f>
        <v>173576</v>
      </c>
      <c r="AC14" s="110">
        <f>Hennepin!U14</f>
        <v>4197882</v>
      </c>
      <c r="AD14" s="110">
        <f>Hermantown!U14</f>
        <v>511682</v>
      </c>
      <c r="AE14" s="110">
        <f>Hutchinson!U14</f>
        <v>159740</v>
      </c>
      <c r="AF14" s="110">
        <f>'Int. Falls'!U14</f>
        <v>136241</v>
      </c>
      <c r="AG14" s="110">
        <f>'Itasca Cty'!U14</f>
        <v>677090</v>
      </c>
      <c r="AH14" s="110"/>
      <c r="AI14" s="110"/>
      <c r="AJ14" s="110">
        <f>Lanesboro!U14</f>
        <v>9202</v>
      </c>
      <c r="AK14" s="110">
        <f>Litchfield!U14</f>
        <v>52019</v>
      </c>
      <c r="AL14" s="68"/>
      <c r="AM14" s="110">
        <f>Mankato!U14</f>
        <v>586518</v>
      </c>
      <c r="AN14" s="110">
        <f>'Maple Grove'!U14</f>
        <v>735325</v>
      </c>
      <c r="AO14" s="110">
        <f>Marshall!U14</f>
        <v>158010</v>
      </c>
      <c r="AP14" s="110">
        <f>Medford!U14</f>
        <v>25994</v>
      </c>
      <c r="AQ14" s="110">
        <f>'Metro Housing'!U14</f>
        <v>10463</v>
      </c>
      <c r="AR14" s="110">
        <f>Minneapolis!U13</f>
        <v>3980805</v>
      </c>
      <c r="AS14" s="110">
        <f>Moorhead!U14</f>
        <v>246729</v>
      </c>
      <c r="AT14" s="110">
        <f>'Moose Lake'!U14</f>
        <v>25010</v>
      </c>
      <c r="AU14" s="110">
        <f>'New London'!U14</f>
        <v>11670</v>
      </c>
      <c r="AV14" s="110">
        <f>'New Ulm'!U14</f>
        <v>133760</v>
      </c>
      <c r="AW14" s="110">
        <f>'North Mankato'!U14</f>
        <v>78727</v>
      </c>
      <c r="AX14" s="110">
        <f>Oakdale!U14</f>
        <v>208842</v>
      </c>
      <c r="AY14" s="110">
        <f>Owatonna!U14</f>
        <v>0</v>
      </c>
      <c r="AZ14" s="110">
        <f>Perham!U14</f>
        <v>73178</v>
      </c>
      <c r="BA14" s="110">
        <f>Proctor!U14</f>
        <v>38327</v>
      </c>
      <c r="BB14" s="110">
        <f>Rochester!U14</f>
        <v>1873441</v>
      </c>
      <c r="BC14" s="110">
        <f>Rogers!U14</f>
        <v>127362</v>
      </c>
      <c r="BD14" s="110">
        <f>'Sauk Centre'!U14</f>
        <v>61763</v>
      </c>
      <c r="BE14" s="110">
        <f>Scanlon!U14</f>
        <v>7924</v>
      </c>
      <c r="BF14" s="110">
        <f>Spicer!U14</f>
        <v>21356</v>
      </c>
      <c r="BG14" s="110">
        <f>Staples!U14</f>
        <v>20386</v>
      </c>
      <c r="BH14" s="110">
        <f>'St. Cloud Area'!U14</f>
        <v>1162714</v>
      </c>
      <c r="BI14" s="110">
        <f>'St. Paul'!U14</f>
        <v>2008561</v>
      </c>
      <c r="BJ14" s="110">
        <f>'St Peter'!U14</f>
        <v>55460</v>
      </c>
      <c r="BK14" s="110">
        <f>'Two Harbors'!U14</f>
        <v>94474</v>
      </c>
      <c r="BL14" s="110">
        <f>Virginia!U14</f>
        <v>220850</v>
      </c>
      <c r="BM14" s="110">
        <f>'Waite Park'!U14</f>
        <v>212610</v>
      </c>
      <c r="BN14" s="110">
        <f>Walker!U14</f>
        <v>76148</v>
      </c>
      <c r="BO14" s="110">
        <f>Warren!U14</f>
        <v>9439</v>
      </c>
      <c r="BP14" s="110">
        <f>'West St. Paul'!U14</f>
        <v>187622</v>
      </c>
      <c r="BQ14" s="110">
        <f>Willmar!U14</f>
        <v>258376</v>
      </c>
      <c r="BR14" s="110"/>
      <c r="BS14" s="110">
        <f>Worthington!U14</f>
        <v>105998</v>
      </c>
      <c r="BT14" s="110"/>
      <c r="BU14" s="2">
        <f t="shared" si="0"/>
        <v>24851572</v>
      </c>
    </row>
    <row r="15" spans="1:73" x14ac:dyDescent="0.2">
      <c r="A15">
        <v>2023</v>
      </c>
      <c r="B15" s="26" t="s">
        <v>50</v>
      </c>
      <c r="C15" s="111">
        <f>'Albert Lea'!U15</f>
        <v>159944</v>
      </c>
      <c r="D15" s="111">
        <f>Austin!U15</f>
        <v>170446</v>
      </c>
      <c r="E15" s="111">
        <f>Avon!U15</f>
        <v>28628</v>
      </c>
      <c r="F15" s="111">
        <f>Baxter!U15</f>
        <v>299884</v>
      </c>
      <c r="G15" s="110">
        <f>Bemidji!U15</f>
        <v>270364</v>
      </c>
      <c r="H15" s="110"/>
      <c r="I15" s="110">
        <f>'Blue Earth'!U15</f>
        <v>32028</v>
      </c>
      <c r="J15" s="110">
        <f>Brainerd!U15</f>
        <v>113873</v>
      </c>
      <c r="K15" s="110"/>
      <c r="L15" s="110">
        <f>Cambridge!U15</f>
        <v>166804</v>
      </c>
      <c r="M15" s="110">
        <f>'Clay Cty'!U15</f>
        <v>480041</v>
      </c>
      <c r="N15" s="110">
        <f>Clearwater!U15</f>
        <v>34010</v>
      </c>
      <c r="O15" s="110">
        <f>Cloquet!U15</f>
        <v>192422</v>
      </c>
      <c r="P15" s="110">
        <f>'Cook Cty'!U15</f>
        <v>200584</v>
      </c>
      <c r="Q15" s="110">
        <f>'Detroit Lakes'!U14</f>
        <v>113</v>
      </c>
      <c r="R15" s="110">
        <f>Duluth!U15</f>
        <v>2497829</v>
      </c>
      <c r="S15" s="110">
        <f>'East Grand Forks'!U15</f>
        <v>3</v>
      </c>
      <c r="T15" s="110">
        <f>Edina!U15</f>
        <v>575817</v>
      </c>
      <c r="U15" s="110">
        <f>'Elk River'!U15</f>
        <v>297580</v>
      </c>
      <c r="V15" s="110">
        <f>Excelsior!U15</f>
        <v>50662</v>
      </c>
      <c r="W15" s="110">
        <f>Fairmont!U15</f>
        <v>92205</v>
      </c>
      <c r="X15" s="110">
        <f>FergusFalls!U15</f>
        <v>128691</v>
      </c>
      <c r="Y15" s="110">
        <f>'GKWMLL Sanitary'!U15</f>
        <v>47246</v>
      </c>
      <c r="Z15" s="110"/>
      <c r="AA15" s="110">
        <f>Glenwood!U15</f>
        <v>27003</v>
      </c>
      <c r="AB15" s="110">
        <f>'Grand Rapids'!U15</f>
        <v>168123</v>
      </c>
      <c r="AC15" s="110">
        <f>Hennepin!U15</f>
        <v>3866028</v>
      </c>
      <c r="AD15" s="110">
        <f>Hermantown!U15</f>
        <v>512613</v>
      </c>
      <c r="AE15" s="110">
        <f>Hutchinson!U15</f>
        <v>145755</v>
      </c>
      <c r="AF15" s="110">
        <f>'Int. Falls'!U15</f>
        <v>114880</v>
      </c>
      <c r="AG15" s="110">
        <f>'Itasca Cty'!U15</f>
        <v>629581</v>
      </c>
      <c r="AH15" s="110"/>
      <c r="AI15" s="110"/>
      <c r="AJ15" s="110">
        <f>Lanesboro!U15</f>
        <v>6173</v>
      </c>
      <c r="AK15" s="110">
        <f>Litchfield!U15</f>
        <v>49858</v>
      </c>
      <c r="AL15" s="68"/>
      <c r="AM15" s="110">
        <f>Mankato!U15</f>
        <v>570317</v>
      </c>
      <c r="AN15" s="110">
        <f>'Maple Grove'!U15</f>
        <v>755170</v>
      </c>
      <c r="AO15" s="110">
        <f>Marshall!U15</f>
        <v>158023</v>
      </c>
      <c r="AP15" s="110">
        <f>Medford!U15</f>
        <v>7875</v>
      </c>
      <c r="AQ15" s="110">
        <f>'Metro Housing'!U15</f>
        <v>12265812</v>
      </c>
      <c r="AR15" s="110">
        <f>Minneapolis!U14</f>
        <v>3627746</v>
      </c>
      <c r="AS15" s="110">
        <f>Moorhead!U15</f>
        <v>229423</v>
      </c>
      <c r="AT15" s="110">
        <f>'Moose Lake'!U15</f>
        <v>24215</v>
      </c>
      <c r="AU15" s="110">
        <f>'New London'!U15</f>
        <v>10763</v>
      </c>
      <c r="AV15" s="110">
        <f>'New Ulm'!U15</f>
        <v>127153</v>
      </c>
      <c r="AW15" s="110">
        <f>'North Mankato'!U15</f>
        <v>75440</v>
      </c>
      <c r="AX15" s="110">
        <f>Oakdale!U15</f>
        <v>223294</v>
      </c>
      <c r="AY15" s="110">
        <f>Owatonna!U15</f>
        <v>0</v>
      </c>
      <c r="AZ15" s="110">
        <f>Perham!U15</f>
        <v>62916</v>
      </c>
      <c r="BA15" s="110">
        <f>Proctor!U15</f>
        <v>42342</v>
      </c>
      <c r="BB15" s="110">
        <f>Rochester!U15</f>
        <v>1951787</v>
      </c>
      <c r="BC15" s="110">
        <f>Rogers!U15</f>
        <v>120158</v>
      </c>
      <c r="BD15" s="110">
        <f>'Sauk Centre'!U15</f>
        <v>53475</v>
      </c>
      <c r="BE15" s="110">
        <f>Scanlon!U15</f>
        <v>8496</v>
      </c>
      <c r="BF15" s="110">
        <f>Spicer!U15</f>
        <v>20310</v>
      </c>
      <c r="BG15" s="110">
        <f>Staples!U15</f>
        <v>16900</v>
      </c>
      <c r="BH15" s="110">
        <f>'St. Cloud Area'!U15</f>
        <v>1091240</v>
      </c>
      <c r="BI15" s="110">
        <f>'St. Paul'!U15</f>
        <v>1849644</v>
      </c>
      <c r="BJ15" s="110">
        <f>'St Peter'!U15</f>
        <v>48003</v>
      </c>
      <c r="BK15" s="110">
        <f>'Two Harbors'!U15</f>
        <v>78879</v>
      </c>
      <c r="BL15" s="110">
        <f>Virginia!U15</f>
        <v>206955</v>
      </c>
      <c r="BM15" s="110">
        <f>'Waite Park'!U15</f>
        <v>223903</v>
      </c>
      <c r="BN15" s="110">
        <f>Walker!U15</f>
        <v>82835</v>
      </c>
      <c r="BO15" s="110">
        <f>Warren!U15</f>
        <v>7548</v>
      </c>
      <c r="BP15" s="110">
        <f>'West St. Paul'!U15</f>
        <v>199348</v>
      </c>
      <c r="BQ15" s="110">
        <f>Willmar!U15</f>
        <v>234079</v>
      </c>
      <c r="BR15" s="110"/>
      <c r="BS15" s="110">
        <f>Worthington!U15</f>
        <v>103793</v>
      </c>
      <c r="BT15" s="110"/>
      <c r="BU15" s="2">
        <f t="shared" si="0"/>
        <v>35837030</v>
      </c>
    </row>
    <row r="16" spans="1:73" x14ac:dyDescent="0.2">
      <c r="A16">
        <v>2023</v>
      </c>
      <c r="B16" s="26" t="s">
        <v>11</v>
      </c>
      <c r="C16" s="111">
        <f>'Albert Lea'!U16</f>
        <v>160646</v>
      </c>
      <c r="D16" s="111">
        <f>Austin!U16</f>
        <v>168929</v>
      </c>
      <c r="E16" s="111">
        <f>Avon!U16</f>
        <v>39848</v>
      </c>
      <c r="F16" s="111">
        <f>Baxter!U16</f>
        <v>287493</v>
      </c>
      <c r="G16" s="110">
        <f>Bemidji!U16</f>
        <v>249685</v>
      </c>
      <c r="H16" s="110"/>
      <c r="I16" s="110">
        <f>'Blue Earth'!U16</f>
        <v>34588</v>
      </c>
      <c r="J16" s="110">
        <f>Brainerd!U16</f>
        <v>105963</v>
      </c>
      <c r="K16" s="110"/>
      <c r="L16" s="110">
        <f>Cambridge!U16</f>
        <v>164976</v>
      </c>
      <c r="M16" s="110">
        <f>'Clay Cty'!U16</f>
        <v>359906</v>
      </c>
      <c r="N16" s="110">
        <f>Clearwater!U16</f>
        <v>30702</v>
      </c>
      <c r="O16" s="110">
        <f>Cloquet!U16</f>
        <v>196709</v>
      </c>
      <c r="P16" s="110">
        <f>'Cook Cty'!U16</f>
        <v>118584</v>
      </c>
      <c r="Q16" s="110">
        <f>'Detroit Lakes'!U15</f>
        <v>1516</v>
      </c>
      <c r="R16" s="110">
        <f>Duluth!U16</f>
        <v>2237458</v>
      </c>
      <c r="S16" s="110">
        <f>'East Grand Forks'!U16</f>
        <v>-140</v>
      </c>
      <c r="T16" s="110">
        <f>Edina!U16</f>
        <v>605187</v>
      </c>
      <c r="U16" s="110">
        <f>'Elk River'!U16</f>
        <v>308711</v>
      </c>
      <c r="V16" s="110">
        <f>Excelsior!U16</f>
        <v>49827</v>
      </c>
      <c r="W16" s="110">
        <f>Fairmont!U16</f>
        <v>91868</v>
      </c>
      <c r="X16" s="110">
        <f>FergusFalls!U16</f>
        <v>125852</v>
      </c>
      <c r="Y16" s="110">
        <f>'GKWMLL Sanitary'!U16</f>
        <v>26594</v>
      </c>
      <c r="Z16" s="110"/>
      <c r="AA16" s="110">
        <f>Glenwood!U16</f>
        <v>28447</v>
      </c>
      <c r="AB16" s="110">
        <f>'Grand Rapids'!U16</f>
        <v>155024</v>
      </c>
      <c r="AC16" s="110">
        <f>Hennepin!U16</f>
        <v>3824170</v>
      </c>
      <c r="AD16" s="110">
        <f>Hermantown!U16</f>
        <v>495879</v>
      </c>
      <c r="AE16" s="110">
        <f>Hutchinson!U16</f>
        <v>148104</v>
      </c>
      <c r="AF16" s="110">
        <f>'Int. Falls'!U16</f>
        <v>92397</v>
      </c>
      <c r="AG16" s="110">
        <f>'Itasca Cty'!U16</f>
        <v>592586</v>
      </c>
      <c r="AH16" s="110"/>
      <c r="AI16" s="110"/>
      <c r="AJ16" s="110">
        <f>Lanesboro!U16</f>
        <v>4360</v>
      </c>
      <c r="AK16" s="110">
        <f>Litchfield!U16</f>
        <v>51961</v>
      </c>
      <c r="AL16" s="68"/>
      <c r="AM16" s="110">
        <f>Mankato!U16</f>
        <v>800059</v>
      </c>
      <c r="AN16" s="110">
        <f>'Maple Grove'!U16</f>
        <v>734916</v>
      </c>
      <c r="AO16" s="110">
        <f>Marshall!U16</f>
        <v>153908</v>
      </c>
      <c r="AP16" s="110">
        <f>Medford!U16</f>
        <v>8962</v>
      </c>
      <c r="AQ16" s="110">
        <f>'Metro Housing'!U16</f>
        <v>12736141</v>
      </c>
      <c r="AR16" s="110">
        <f>Minneapolis!U15</f>
        <v>3515770</v>
      </c>
      <c r="AS16" s="110">
        <f>Moorhead!U16</f>
        <v>223697</v>
      </c>
      <c r="AT16" s="110">
        <f>'Moose Lake'!U16</f>
        <v>21710</v>
      </c>
      <c r="AU16" s="110">
        <f>'New London'!U16</f>
        <v>11193</v>
      </c>
      <c r="AV16" s="110">
        <f>'New Ulm'!U16</f>
        <v>131102</v>
      </c>
      <c r="AW16" s="110">
        <f>'North Mankato'!U16</f>
        <v>75591</v>
      </c>
      <c r="AX16" s="110">
        <f>Oakdale!U16</f>
        <v>227160</v>
      </c>
      <c r="AY16" s="110">
        <f>Owatonna!U16</f>
        <v>0</v>
      </c>
      <c r="AZ16" s="110">
        <f>Perham!U16</f>
        <v>52324</v>
      </c>
      <c r="BA16" s="110">
        <f>Proctor!U16</f>
        <v>33390</v>
      </c>
      <c r="BB16" s="110">
        <f>Rochester!U16</f>
        <v>1822882</v>
      </c>
      <c r="BC16" s="110">
        <f>Rogers!U16</f>
        <v>113556</v>
      </c>
      <c r="BD16" s="110">
        <f>'Sauk Centre'!U16</f>
        <v>54236</v>
      </c>
      <c r="BE16" s="110">
        <f>Scanlon!U16</f>
        <v>7361</v>
      </c>
      <c r="BF16" s="110">
        <f>Spicer!U16</f>
        <v>18667</v>
      </c>
      <c r="BG16" s="110">
        <f>Staples!U16</f>
        <v>15963</v>
      </c>
      <c r="BH16" s="110">
        <f>'St. Cloud Area'!U16</f>
        <v>1095464</v>
      </c>
      <c r="BI16" s="110">
        <f>'St. Paul'!U16</f>
        <v>1862549</v>
      </c>
      <c r="BJ16" s="110">
        <f>'St Peter'!U16</f>
        <v>51089</v>
      </c>
      <c r="BK16" s="110">
        <f>'Two Harbors'!U16</f>
        <v>63408</v>
      </c>
      <c r="BL16" s="110">
        <f>Virginia!U16</f>
        <v>190902</v>
      </c>
      <c r="BM16" s="110">
        <f>'Waite Park'!U16</f>
        <v>214162</v>
      </c>
      <c r="BN16" s="110">
        <f>Walker!U16</f>
        <v>65117</v>
      </c>
      <c r="BO16" s="110">
        <f>Warren!U16</f>
        <v>8215</v>
      </c>
      <c r="BP16" s="110">
        <f>'West St. Paul'!U16</f>
        <v>198102</v>
      </c>
      <c r="BQ16" s="110">
        <f>Willmar!U16</f>
        <v>237129</v>
      </c>
      <c r="BR16" s="110"/>
      <c r="BS16" s="110">
        <f>Worthington!U16</f>
        <v>102998</v>
      </c>
      <c r="BT16" s="110"/>
      <c r="BU16" s="2">
        <f t="shared" si="0"/>
        <v>35605553</v>
      </c>
    </row>
    <row r="17" spans="1:75" x14ac:dyDescent="0.2">
      <c r="B17" s="25"/>
      <c r="C17" s="25"/>
      <c r="D17" s="25"/>
      <c r="E17" s="25"/>
      <c r="F17" s="25"/>
      <c r="G17" s="25"/>
      <c r="H17" s="25"/>
      <c r="I17" s="110"/>
      <c r="J17" s="110"/>
      <c r="K17" s="25"/>
      <c r="N17" s="68"/>
      <c r="O17" s="68"/>
      <c r="P17" s="69"/>
      <c r="Q17" s="68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8"/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110"/>
      <c r="AO17" s="71"/>
      <c r="AP17" s="71"/>
      <c r="AQ17" s="71"/>
      <c r="AR17" s="72"/>
      <c r="AS17" s="110"/>
      <c r="AT17" s="110"/>
      <c r="AU17" s="110"/>
      <c r="AV17" s="73"/>
      <c r="AW17" s="68"/>
      <c r="AX17" s="68"/>
      <c r="AY17" s="68"/>
      <c r="AZ17" s="68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42"/>
    </row>
    <row r="18" spans="1:75" x14ac:dyDescent="0.2">
      <c r="B18" s="26" t="s">
        <v>52</v>
      </c>
      <c r="C18" s="2">
        <f>SUM(C5:C17)</f>
        <v>1964706</v>
      </c>
      <c r="D18" s="2">
        <f>SUM(D5:D17)</f>
        <v>1955386</v>
      </c>
      <c r="E18" s="2">
        <f>SUM(E5:E17)</f>
        <v>341280</v>
      </c>
      <c r="F18" s="2">
        <f>SUM(F5:F17)</f>
        <v>3512389</v>
      </c>
      <c r="G18" s="2">
        <f>SUM(G5:G17)</f>
        <v>3198603</v>
      </c>
      <c r="H18" s="2"/>
      <c r="I18" s="2">
        <f>SUM(I5:I17)</f>
        <v>475951</v>
      </c>
      <c r="J18" s="2">
        <f>SUM(J5:J17)</f>
        <v>1373970</v>
      </c>
      <c r="K18" s="2"/>
      <c r="L18" s="2">
        <f>SUM(L5:L16)</f>
        <v>1846391</v>
      </c>
      <c r="M18" s="2">
        <f>SUM(M5:M16)</f>
        <v>4459431</v>
      </c>
      <c r="N18" s="2">
        <f t="shared" ref="N18:T18" si="1">SUM(N5:N17)</f>
        <v>362938</v>
      </c>
      <c r="O18" s="2">
        <f t="shared" si="1"/>
        <v>2005010</v>
      </c>
      <c r="P18" s="2">
        <f t="shared" si="1"/>
        <v>2409597</v>
      </c>
      <c r="Q18" s="2">
        <f t="shared" si="1"/>
        <v>1116364</v>
      </c>
      <c r="R18" s="2">
        <f t="shared" si="1"/>
        <v>29005870</v>
      </c>
      <c r="S18" s="2">
        <f t="shared" si="1"/>
        <v>475</v>
      </c>
      <c r="T18" s="2">
        <f t="shared" si="1"/>
        <v>4667526</v>
      </c>
      <c r="U18" s="2">
        <f t="shared" ref="U18:V18" si="2">SUM(U5:U17)</f>
        <v>3741733</v>
      </c>
      <c r="V18" s="2">
        <f t="shared" si="2"/>
        <v>791442</v>
      </c>
      <c r="W18" s="2">
        <f>SUM(W5:W17)</f>
        <v>1140629</v>
      </c>
      <c r="X18" s="2">
        <f>SUM(X5:X17)</f>
        <v>269089</v>
      </c>
      <c r="Y18" s="2">
        <f>SUM(Y5:Y17)</f>
        <v>316654</v>
      </c>
      <c r="Z18" s="2"/>
      <c r="AA18" s="2">
        <f t="shared" ref="AA18:AK18" si="3">SUM(AA5:AA17)</f>
        <v>318326</v>
      </c>
      <c r="AB18" s="2">
        <f t="shared" ref="AB18" si="4">SUM(AB5:AB17)</f>
        <v>1366405</v>
      </c>
      <c r="AC18" s="2">
        <f t="shared" si="3"/>
        <v>46742127</v>
      </c>
      <c r="AD18" s="2">
        <f t="shared" si="3"/>
        <v>5350331</v>
      </c>
      <c r="AE18" s="2">
        <f t="shared" si="3"/>
        <v>1827384</v>
      </c>
      <c r="AF18" s="2">
        <f t="shared" si="3"/>
        <v>1385859</v>
      </c>
      <c r="AG18" s="2">
        <f t="shared" ref="AG18" si="5">SUM(AG5:AG17)</f>
        <v>5222707</v>
      </c>
      <c r="AH18" s="2"/>
      <c r="AI18" s="2"/>
      <c r="AJ18" s="2">
        <f t="shared" si="3"/>
        <v>73658</v>
      </c>
      <c r="AK18" s="2">
        <f t="shared" si="3"/>
        <v>253492</v>
      </c>
      <c r="AL18" s="2"/>
      <c r="AM18" s="2">
        <f t="shared" ref="AM18:BQ18" si="6">SUM(AM5:AM17)</f>
        <v>7081387</v>
      </c>
      <c r="AN18" s="2">
        <f t="shared" ref="AN18" si="7">SUM(AN5:AN17)</f>
        <v>5917222</v>
      </c>
      <c r="AO18" s="2">
        <f t="shared" si="6"/>
        <v>1862696</v>
      </c>
      <c r="AP18" s="2">
        <f t="shared" si="6"/>
        <v>188588</v>
      </c>
      <c r="AQ18" s="2">
        <f t="shared" si="6"/>
        <v>25012416</v>
      </c>
      <c r="AR18" s="2">
        <f t="shared" si="6"/>
        <v>43397440</v>
      </c>
      <c r="AS18" s="2">
        <f t="shared" ref="AS18" si="8">SUM(AS5:AS17)</f>
        <v>1812854</v>
      </c>
      <c r="AT18" s="2">
        <f t="shared" si="6"/>
        <v>282132</v>
      </c>
      <c r="AU18" s="2">
        <f t="shared" si="6"/>
        <v>130410</v>
      </c>
      <c r="AV18" s="2">
        <f t="shared" si="6"/>
        <v>1597696</v>
      </c>
      <c r="AW18" s="2">
        <f t="shared" si="6"/>
        <v>940148</v>
      </c>
      <c r="AX18" s="2">
        <f t="shared" ref="AX18" si="9">SUM(AX5:AX17)</f>
        <v>1716577</v>
      </c>
      <c r="AY18" s="2">
        <f t="shared" si="6"/>
        <v>0</v>
      </c>
      <c r="AZ18" s="2">
        <f t="shared" si="6"/>
        <v>778842</v>
      </c>
      <c r="BA18" s="2">
        <f t="shared" si="6"/>
        <v>427787</v>
      </c>
      <c r="BB18" s="2">
        <f t="shared" si="6"/>
        <v>22076564</v>
      </c>
      <c r="BC18" s="2">
        <f t="shared" ref="BC18:BD18" si="10">SUM(BC5:BC17)</f>
        <v>1424247</v>
      </c>
      <c r="BD18" s="2">
        <f t="shared" si="10"/>
        <v>665597</v>
      </c>
      <c r="BE18" s="2">
        <f t="shared" si="6"/>
        <v>95251</v>
      </c>
      <c r="BF18" s="2">
        <f t="shared" si="6"/>
        <v>259336</v>
      </c>
      <c r="BG18" s="2">
        <f t="shared" ref="BG18" si="11">SUM(BG5:BG17)</f>
        <v>144860</v>
      </c>
      <c r="BH18" s="2">
        <f t="shared" si="6"/>
        <v>13450467</v>
      </c>
      <c r="BI18" s="2">
        <f t="shared" si="6"/>
        <v>22129901</v>
      </c>
      <c r="BJ18" s="2">
        <f t="shared" si="6"/>
        <v>616704</v>
      </c>
      <c r="BK18" s="2">
        <f t="shared" si="6"/>
        <v>956858</v>
      </c>
      <c r="BL18" s="2">
        <f t="shared" si="6"/>
        <v>2444011</v>
      </c>
      <c r="BM18" s="2">
        <f t="shared" ref="BM18" si="12">SUM(BM5:BM17)</f>
        <v>1715370</v>
      </c>
      <c r="BN18" s="2">
        <f t="shared" si="6"/>
        <v>923574</v>
      </c>
      <c r="BO18" s="2">
        <f t="shared" ref="BO18" si="13">SUM(BO5:BO17)</f>
        <v>68475</v>
      </c>
      <c r="BP18" s="2">
        <f t="shared" ref="BP18" si="14">SUM(BP5:BP17)</f>
        <v>2149302</v>
      </c>
      <c r="BQ18" s="2">
        <f t="shared" si="6"/>
        <v>2833674</v>
      </c>
      <c r="BR18" s="2"/>
      <c r="BS18" s="2">
        <f>SUM(BS5:BS17)</f>
        <v>1265905</v>
      </c>
      <c r="BT18" s="2">
        <f>SUM(BT5:BT17)</f>
        <v>0</v>
      </c>
      <c r="BU18" s="42">
        <f>SUM(C18:BT18)</f>
        <v>291862014</v>
      </c>
      <c r="BV18" t="s">
        <v>55</v>
      </c>
      <c r="BW18" s="42"/>
    </row>
    <row r="19" spans="1:75" x14ac:dyDescent="0.2">
      <c r="B19" s="25"/>
      <c r="C19" s="25"/>
      <c r="D19" s="25"/>
      <c r="E19" s="25"/>
      <c r="F19" s="25"/>
      <c r="G19" s="25" t="s">
        <v>55</v>
      </c>
      <c r="H19" s="25"/>
      <c r="I19" s="25"/>
      <c r="J19" s="25"/>
      <c r="K19" s="25"/>
    </row>
    <row r="20" spans="1:75" x14ac:dyDescent="0.2">
      <c r="B20" s="24"/>
      <c r="C20" s="109"/>
      <c r="D20" s="24"/>
      <c r="E20" s="24"/>
      <c r="F20" s="24"/>
      <c r="G20" s="24"/>
      <c r="H20" s="24"/>
      <c r="I20" s="24"/>
      <c r="J20" s="24"/>
      <c r="K20" s="24"/>
      <c r="N20" s="6"/>
      <c r="O20" s="6"/>
      <c r="P20" s="6"/>
      <c r="Q20" s="6"/>
      <c r="AC20" s="6"/>
    </row>
    <row r="21" spans="1:75" x14ac:dyDescent="0.2">
      <c r="B21" s="24"/>
      <c r="C21" s="35"/>
      <c r="D21" s="35"/>
      <c r="E21" s="35"/>
      <c r="F21" s="35"/>
      <c r="G21" s="35"/>
      <c r="H21" s="35"/>
      <c r="I21" s="35"/>
      <c r="J21" s="35"/>
      <c r="K21" s="35" t="s">
        <v>114</v>
      </c>
      <c r="L21" s="119"/>
      <c r="M21" s="119" t="s">
        <v>306</v>
      </c>
      <c r="N21" s="90"/>
      <c r="O21" s="90"/>
      <c r="P21" s="90"/>
      <c r="Q21" s="90" t="s">
        <v>118</v>
      </c>
      <c r="R21" s="35"/>
      <c r="S21" s="35" t="s">
        <v>343</v>
      </c>
      <c r="T21" s="35"/>
      <c r="U21" s="35"/>
      <c r="V21" s="35"/>
      <c r="W21" s="35"/>
      <c r="X21" s="35" t="s">
        <v>139</v>
      </c>
      <c r="Y21" s="35" t="s">
        <v>345</v>
      </c>
      <c r="Z21" s="35" t="s">
        <v>120</v>
      </c>
      <c r="AA21" s="35"/>
      <c r="AB21" s="89" t="s">
        <v>495</v>
      </c>
      <c r="AC21" s="90"/>
      <c r="AD21" s="35"/>
      <c r="AE21" s="35"/>
      <c r="AF21" s="89" t="s">
        <v>402</v>
      </c>
      <c r="AG21" s="89" t="s">
        <v>497</v>
      </c>
      <c r="AH21" s="89"/>
      <c r="AI21" s="89" t="s">
        <v>452</v>
      </c>
      <c r="AJ21" s="35"/>
      <c r="AK21" s="35"/>
      <c r="AL21" s="35" t="s">
        <v>116</v>
      </c>
      <c r="AM21" s="35"/>
      <c r="AN21" s="35"/>
      <c r="AO21" s="35"/>
      <c r="AP21" s="35"/>
      <c r="AQ21" s="89" t="s">
        <v>526</v>
      </c>
      <c r="AR21" s="35"/>
      <c r="AS21" s="35"/>
      <c r="AT21" s="35"/>
      <c r="AU21" s="35"/>
      <c r="AV21" s="35"/>
      <c r="AW21" s="35" t="s">
        <v>126</v>
      </c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 t="s">
        <v>124</v>
      </c>
      <c r="BL21" s="35"/>
      <c r="BM21" s="35"/>
      <c r="BN21" s="35"/>
      <c r="BO21" s="35"/>
      <c r="BP21" s="35"/>
      <c r="BQ21" s="35"/>
      <c r="BR21" s="35"/>
      <c r="BS21" s="35"/>
      <c r="BT21" s="35"/>
      <c r="BU21" s="10" t="s">
        <v>53</v>
      </c>
    </row>
    <row r="22" spans="1:75" x14ac:dyDescent="0.2">
      <c r="B22" s="33" t="s">
        <v>74</v>
      </c>
      <c r="C22" s="89" t="s">
        <v>70</v>
      </c>
      <c r="D22" s="89" t="s">
        <v>71</v>
      </c>
      <c r="E22" s="89" t="s">
        <v>398</v>
      </c>
      <c r="F22" s="89" t="s">
        <v>72</v>
      </c>
      <c r="G22" s="89" t="s">
        <v>78</v>
      </c>
      <c r="H22" s="89" t="s">
        <v>107</v>
      </c>
      <c r="I22" s="89" t="s">
        <v>222</v>
      </c>
      <c r="J22" s="89" t="s">
        <v>73</v>
      </c>
      <c r="K22" s="89" t="s">
        <v>115</v>
      </c>
      <c r="L22" s="89" t="s">
        <v>399</v>
      </c>
      <c r="M22" s="89" t="s">
        <v>122</v>
      </c>
      <c r="N22" s="89" t="s">
        <v>90</v>
      </c>
      <c r="O22" s="89" t="s">
        <v>149</v>
      </c>
      <c r="P22" s="89" t="s">
        <v>101</v>
      </c>
      <c r="Q22" s="89" t="s">
        <v>119</v>
      </c>
      <c r="R22" s="89" t="s">
        <v>42</v>
      </c>
      <c r="S22" s="89" t="s">
        <v>344</v>
      </c>
      <c r="T22" s="89" t="s">
        <v>511</v>
      </c>
      <c r="U22" s="89" t="s">
        <v>400</v>
      </c>
      <c r="V22" s="89" t="s">
        <v>401</v>
      </c>
      <c r="W22" s="89" t="s">
        <v>317</v>
      </c>
      <c r="X22" s="89" t="s">
        <v>117</v>
      </c>
      <c r="Y22" s="89" t="s">
        <v>346</v>
      </c>
      <c r="Z22" s="89" t="s">
        <v>121</v>
      </c>
      <c r="AA22" s="89" t="s">
        <v>435</v>
      </c>
      <c r="AB22" s="89" t="s">
        <v>496</v>
      </c>
      <c r="AC22" s="89" t="s">
        <v>79</v>
      </c>
      <c r="AD22" s="89" t="s">
        <v>43</v>
      </c>
      <c r="AE22" s="89" t="s">
        <v>137</v>
      </c>
      <c r="AF22" s="89" t="s">
        <v>117</v>
      </c>
      <c r="AG22" s="89" t="s">
        <v>122</v>
      </c>
      <c r="AH22" s="89" t="s">
        <v>447</v>
      </c>
      <c r="AI22" s="89" t="s">
        <v>453</v>
      </c>
      <c r="AJ22" s="89" t="s">
        <v>138</v>
      </c>
      <c r="AK22" s="89" t="s">
        <v>522</v>
      </c>
      <c r="AL22" s="89" t="s">
        <v>117</v>
      </c>
      <c r="AM22" s="89" t="s">
        <v>44</v>
      </c>
      <c r="AN22" s="89" t="s">
        <v>494</v>
      </c>
      <c r="AO22" s="89" t="s">
        <v>150</v>
      </c>
      <c r="AP22" s="89" t="s">
        <v>151</v>
      </c>
      <c r="AQ22" s="89" t="s">
        <v>528</v>
      </c>
      <c r="AR22" s="89" t="s">
        <v>45</v>
      </c>
      <c r="AS22" s="89" t="s">
        <v>493</v>
      </c>
      <c r="AT22" s="89" t="s">
        <v>302</v>
      </c>
      <c r="AU22" s="89" t="s">
        <v>318</v>
      </c>
      <c r="AV22" s="89" t="s">
        <v>46</v>
      </c>
      <c r="AW22" s="89" t="s">
        <v>44</v>
      </c>
      <c r="AX22" s="89" t="s">
        <v>515</v>
      </c>
      <c r="AY22" s="89" t="s">
        <v>76</v>
      </c>
      <c r="AZ22" s="89" t="s">
        <v>436</v>
      </c>
      <c r="BA22" s="89" t="s">
        <v>47</v>
      </c>
      <c r="BB22" s="89" t="s">
        <v>38</v>
      </c>
      <c r="BC22" s="89" t="s">
        <v>403</v>
      </c>
      <c r="BD22" s="89" t="s">
        <v>419</v>
      </c>
      <c r="BE22" s="89" t="s">
        <v>437</v>
      </c>
      <c r="BF22" s="89" t="s">
        <v>319</v>
      </c>
      <c r="BG22" s="89" t="s">
        <v>514</v>
      </c>
      <c r="BH22" s="89" t="s">
        <v>48</v>
      </c>
      <c r="BI22" s="89" t="s">
        <v>49</v>
      </c>
      <c r="BJ22" s="89" t="s">
        <v>467</v>
      </c>
      <c r="BK22" s="89" t="s">
        <v>125</v>
      </c>
      <c r="BL22" s="89" t="s">
        <v>438</v>
      </c>
      <c r="BM22" s="89" t="s">
        <v>492</v>
      </c>
      <c r="BN22" s="89" t="s">
        <v>342</v>
      </c>
      <c r="BO22" s="89" t="s">
        <v>513</v>
      </c>
      <c r="BP22" s="89" t="s">
        <v>420</v>
      </c>
      <c r="BQ22" s="89" t="s">
        <v>77</v>
      </c>
      <c r="BR22" s="89" t="s">
        <v>109</v>
      </c>
      <c r="BS22" s="89" t="s">
        <v>91</v>
      </c>
      <c r="BT22" s="89" t="s">
        <v>512</v>
      </c>
      <c r="BU22" s="16" t="s">
        <v>54</v>
      </c>
    </row>
    <row r="23" spans="1:75" x14ac:dyDescent="0.2">
      <c r="B23" s="25"/>
      <c r="C23" s="34"/>
      <c r="D23" s="34"/>
      <c r="E23" s="34"/>
      <c r="F23" s="34"/>
      <c r="G23" s="25"/>
      <c r="H23" s="25"/>
      <c r="I23" s="34"/>
      <c r="J23" s="34"/>
      <c r="K23" s="34"/>
      <c r="L23" s="110"/>
      <c r="N23" s="34"/>
      <c r="O23" s="34"/>
      <c r="P23" s="34"/>
      <c r="Q23" s="35"/>
      <c r="R23" s="21"/>
      <c r="S23" s="171"/>
      <c r="T23" s="21"/>
      <c r="U23" s="21"/>
      <c r="V23" s="21"/>
      <c r="W23" s="21"/>
      <c r="X23" s="171"/>
      <c r="Y23" s="171"/>
      <c r="Z23" s="93"/>
      <c r="AA23" s="93"/>
      <c r="AB23" s="93"/>
      <c r="AC23" s="35"/>
      <c r="AQ23" s="35"/>
      <c r="AR23" s="10"/>
      <c r="AS23" s="10"/>
      <c r="AT23" s="10"/>
      <c r="AU23" s="10"/>
      <c r="AV23" s="10"/>
      <c r="AW23" s="10"/>
      <c r="AX23" s="34"/>
      <c r="AY23" s="34"/>
      <c r="AZ23" s="34"/>
      <c r="BB23" s="36"/>
      <c r="BC23" s="36"/>
      <c r="BD23" s="36"/>
      <c r="BE23" s="36"/>
      <c r="BF23" s="36"/>
      <c r="BG23" s="36"/>
      <c r="BM23" s="171"/>
      <c r="BN23" s="171"/>
      <c r="BO23" s="171"/>
    </row>
    <row r="24" spans="1:75" x14ac:dyDescent="0.2">
      <c r="A24">
        <v>2023</v>
      </c>
      <c r="B24" s="26" t="s">
        <v>51</v>
      </c>
      <c r="C24" s="111">
        <f>'Albert Lea'!U24</f>
        <v>9610</v>
      </c>
      <c r="D24" s="111">
        <f>Austin!U24</f>
        <v>6259</v>
      </c>
      <c r="E24" s="111">
        <f>Avon!U24</f>
        <v>961</v>
      </c>
      <c r="F24" s="111">
        <f>Baxter!U24</f>
        <v>5000</v>
      </c>
      <c r="G24" s="110">
        <f>Bemidji!U24</f>
        <v>7728</v>
      </c>
      <c r="H24" s="110"/>
      <c r="I24" s="110">
        <f>'Blue Earth'!U24</f>
        <v>1067</v>
      </c>
      <c r="J24" s="110">
        <f>Brainerd!U24</f>
        <v>3407</v>
      </c>
      <c r="K24" s="110"/>
      <c r="L24" s="110">
        <f>Cambridge!U24</f>
        <v>3596</v>
      </c>
      <c r="M24" s="110">
        <f>'Clay Cty'!U24</f>
        <v>21971</v>
      </c>
      <c r="N24" s="110">
        <f>Clearwater!U24</f>
        <v>13738</v>
      </c>
      <c r="O24" s="110">
        <f>Cloquet!U24</f>
        <v>7054</v>
      </c>
      <c r="P24" s="110">
        <f>'Cook Cty'!U24</f>
        <v>10767</v>
      </c>
      <c r="Q24" s="110">
        <f>'Detroit Lakes'!U23</f>
        <v>8544</v>
      </c>
      <c r="R24" s="110">
        <f>Duluth!U24</f>
        <v>128631</v>
      </c>
      <c r="S24" s="110">
        <f>'East Grand Forks'!U24</f>
        <v>0</v>
      </c>
      <c r="T24" s="110">
        <f>Edina!U24</f>
        <v>0</v>
      </c>
      <c r="U24" s="110">
        <f>'Elk River'!U24</f>
        <v>12910</v>
      </c>
      <c r="V24" s="110">
        <f>Excelsior!U24</f>
        <v>2055</v>
      </c>
      <c r="W24" s="110">
        <f>Fairmont!U24</f>
        <v>5093</v>
      </c>
      <c r="X24" s="110">
        <f>FergusFalls!U24</f>
        <v>-549</v>
      </c>
      <c r="Y24" s="110">
        <f>'GKWMLL Sanitary'!U24</f>
        <v>281</v>
      </c>
      <c r="Z24" s="110"/>
      <c r="AA24" s="110">
        <f>Glenwood!U24</f>
        <v>992</v>
      </c>
      <c r="AB24" s="110">
        <f>'Grand Rapids'!U24</f>
        <v>0</v>
      </c>
      <c r="AC24" s="110">
        <f>Hennepin!U24</f>
        <v>294835</v>
      </c>
      <c r="AD24" s="110">
        <f>Hermantown!U24</f>
        <v>9260</v>
      </c>
      <c r="AE24" s="110">
        <f>Hutchinson!U24</f>
        <v>13432</v>
      </c>
      <c r="AF24" s="110">
        <f>'Int. Falls'!U24</f>
        <v>14609</v>
      </c>
      <c r="AG24" s="110">
        <f>'Itasca Cty'!U24</f>
        <v>0</v>
      </c>
      <c r="AH24" s="110"/>
      <c r="AI24" s="110"/>
      <c r="AJ24" s="110">
        <f>Lanesboro!U24</f>
        <v>118</v>
      </c>
      <c r="AK24" s="110">
        <f>Litchfield!U24</f>
        <v>0</v>
      </c>
      <c r="AL24" s="110"/>
      <c r="AM24" s="110">
        <f>Mankato!U24</f>
        <v>30671</v>
      </c>
      <c r="AN24" s="110">
        <f>'Maple Grove'!U24</f>
        <v>0</v>
      </c>
      <c r="AO24" s="110">
        <f>Marshall!U24</f>
        <v>10990</v>
      </c>
      <c r="AP24" s="110">
        <f>Medford!U24</f>
        <v>1439</v>
      </c>
      <c r="AQ24" s="110">
        <f>'Metro Housing'!U24</f>
        <v>0</v>
      </c>
      <c r="AR24" s="110">
        <f>Minneapolis!U22</f>
        <v>357292</v>
      </c>
      <c r="AS24" s="110">
        <f>Moorhead!U24</f>
        <v>0</v>
      </c>
      <c r="AT24" s="110">
        <f>'Moose Lake'!U24</f>
        <v>3306</v>
      </c>
      <c r="AU24" s="110">
        <f>'New London'!U24</f>
        <v>1595</v>
      </c>
      <c r="AV24" s="110">
        <f>'New Ulm'!U24</f>
        <v>6361</v>
      </c>
      <c r="AW24" s="110">
        <f>'North Mankato'!U24</f>
        <v>2852</v>
      </c>
      <c r="AX24" s="110">
        <f>Oakdale!U24</f>
        <v>0</v>
      </c>
      <c r="AY24" s="110">
        <f>Owatonna!U24</f>
        <v>0</v>
      </c>
      <c r="AZ24" s="110">
        <f>Perham!U24</f>
        <v>4907</v>
      </c>
      <c r="BA24" s="110">
        <f>Proctor!U24</f>
        <v>9516</v>
      </c>
      <c r="BB24" s="110">
        <f>Rochester!U24</f>
        <v>204933</v>
      </c>
      <c r="BC24" s="110">
        <f>Rogers!U24</f>
        <v>5133</v>
      </c>
      <c r="BD24" s="110">
        <f>'Sauk Centre'!U24</f>
        <v>2336</v>
      </c>
      <c r="BE24" s="110">
        <f>Scanlon!U24</f>
        <v>200</v>
      </c>
      <c r="BF24" s="110">
        <f>Spicer!U24</f>
        <v>417</v>
      </c>
      <c r="BG24" s="110">
        <f>Staples!U24</f>
        <v>0</v>
      </c>
      <c r="BH24" s="110">
        <f>'St. Cloud Area'!U24</f>
        <v>60076</v>
      </c>
      <c r="BI24" s="110">
        <f>'St. Paul'!U24</f>
        <v>171537</v>
      </c>
      <c r="BJ24" s="110">
        <f>'St Peter'!U24</f>
        <v>2349</v>
      </c>
      <c r="BK24" s="110">
        <f>'Two Harbors'!U24</f>
        <v>13258</v>
      </c>
      <c r="BL24" s="110">
        <f>Virginia!U24</f>
        <v>9718</v>
      </c>
      <c r="BM24" s="110">
        <f>'Waite Park'!U24</f>
        <v>0</v>
      </c>
      <c r="BN24" s="110">
        <f>Walker!U24</f>
        <v>2483</v>
      </c>
      <c r="BO24" s="110">
        <f>Warren!U24</f>
        <v>0</v>
      </c>
      <c r="BP24" s="110">
        <f>'West St. Paul'!U24</f>
        <v>4744</v>
      </c>
      <c r="BQ24" s="110">
        <f>Willmar!U24</f>
        <v>10187</v>
      </c>
      <c r="BR24" s="110"/>
      <c r="BS24" s="110">
        <f>Worthington!U24</f>
        <v>4966</v>
      </c>
      <c r="BT24" s="110"/>
      <c r="BU24" s="2">
        <f>SUM(C24:BT24)</f>
        <v>1502635</v>
      </c>
    </row>
    <row r="25" spans="1:75" x14ac:dyDescent="0.2">
      <c r="A25">
        <v>2023</v>
      </c>
      <c r="B25" s="26" t="s">
        <v>1</v>
      </c>
      <c r="C25" s="111">
        <f>'Albert Lea'!U25</f>
        <v>7858</v>
      </c>
      <c r="D25" s="111">
        <f>Austin!U25</f>
        <v>4130</v>
      </c>
      <c r="E25" s="111">
        <f>Avon!U25</f>
        <v>785</v>
      </c>
      <c r="F25" s="111">
        <f>Baxter!U25</f>
        <v>3985</v>
      </c>
      <c r="G25" s="110">
        <f>Bemidji!U25</f>
        <v>12643</v>
      </c>
      <c r="H25" s="110"/>
      <c r="I25" s="110">
        <f>'Blue Earth'!U25</f>
        <v>1369</v>
      </c>
      <c r="J25" s="110">
        <f>Brainerd!U25</f>
        <v>4013</v>
      </c>
      <c r="K25" s="110"/>
      <c r="L25" s="110">
        <f>Cambridge!U25</f>
        <v>2974</v>
      </c>
      <c r="M25" s="110">
        <f>'Clay Cty'!U25</f>
        <v>13543</v>
      </c>
      <c r="N25" s="110">
        <f>Clearwater!U25</f>
        <v>515</v>
      </c>
      <c r="O25" s="110">
        <f>Cloquet!U25</f>
        <v>9978</v>
      </c>
      <c r="P25" s="110">
        <f>'Cook Cty'!U25</f>
        <v>5905</v>
      </c>
      <c r="Q25" s="110">
        <f>'Detroit Lakes'!U24</f>
        <v>6411</v>
      </c>
      <c r="R25" s="110">
        <f>Duluth!U25</f>
        <v>91402</v>
      </c>
      <c r="S25" s="110">
        <f>'East Grand Forks'!U25</f>
        <v>0</v>
      </c>
      <c r="T25" s="110">
        <f>Edina!U25</f>
        <v>0</v>
      </c>
      <c r="U25" s="110">
        <f>'Elk River'!U25</f>
        <v>8194</v>
      </c>
      <c r="V25" s="110">
        <f>Excelsior!U25</f>
        <v>1069</v>
      </c>
      <c r="W25" s="110">
        <f>Fairmont!U25</f>
        <v>2578</v>
      </c>
      <c r="X25" s="110">
        <f>FergusFalls!U25</f>
        <v>2697</v>
      </c>
      <c r="Y25" s="110">
        <f>'GKWMLL Sanitary'!U25</f>
        <v>299</v>
      </c>
      <c r="Z25" s="110"/>
      <c r="AA25" s="110">
        <f>Glenwood!U25</f>
        <v>1036</v>
      </c>
      <c r="AB25" s="110">
        <f>'Grand Rapids'!U25</f>
        <v>0</v>
      </c>
      <c r="AC25" s="110">
        <f>Hennepin!U25</f>
        <v>227367</v>
      </c>
      <c r="AD25" s="110">
        <f>Hermantown!U25</f>
        <v>6594</v>
      </c>
      <c r="AE25" s="110">
        <f>Hutchinson!U25</f>
        <v>8028</v>
      </c>
      <c r="AF25" s="110">
        <f>'Int. Falls'!U25</f>
        <v>5663</v>
      </c>
      <c r="AG25" s="110">
        <f>'Itasca Cty'!U25</f>
        <v>0</v>
      </c>
      <c r="AH25" s="110"/>
      <c r="AI25" s="110"/>
      <c r="AJ25" s="110">
        <f>Lanesboro!U25</f>
        <v>51</v>
      </c>
      <c r="AK25" s="110">
        <f>Litchfield!U25</f>
        <v>0</v>
      </c>
      <c r="AL25" s="110"/>
      <c r="AM25" s="110">
        <f>Mankato!U25</f>
        <v>21098</v>
      </c>
      <c r="AN25" s="110">
        <f>'Maple Grove'!U25</f>
        <v>0</v>
      </c>
      <c r="AO25" s="110">
        <f>Marshall!U25</f>
        <v>7957</v>
      </c>
      <c r="AP25" s="110">
        <f>Medford!U25</f>
        <v>65</v>
      </c>
      <c r="AQ25" s="110">
        <f>'Metro Housing'!U25</f>
        <v>0</v>
      </c>
      <c r="AR25" s="110">
        <f>Minneapolis!U23</f>
        <v>294730</v>
      </c>
      <c r="AS25" s="110">
        <f>Moorhead!U25</f>
        <v>0</v>
      </c>
      <c r="AT25" s="110">
        <f>'Moose Lake'!U25</f>
        <v>2039</v>
      </c>
      <c r="AU25" s="110">
        <f>'New London'!U25</f>
        <v>388</v>
      </c>
      <c r="AV25" s="110">
        <f>'New Ulm'!U25</f>
        <v>8192</v>
      </c>
      <c r="AW25" s="110">
        <f>'North Mankato'!U25</f>
        <v>2649</v>
      </c>
      <c r="AX25" s="110">
        <f>Oakdale!U25</f>
        <v>0</v>
      </c>
      <c r="AY25" s="110">
        <f>Owatonna!U25</f>
        <v>0</v>
      </c>
      <c r="AZ25" s="110">
        <f>Perham!U25</f>
        <v>3443</v>
      </c>
      <c r="BA25" s="110">
        <f>Proctor!U25</f>
        <v>5240</v>
      </c>
      <c r="BB25" s="110">
        <f>Rochester!U25</f>
        <v>132642</v>
      </c>
      <c r="BC25" s="110">
        <f>Rogers!U25</f>
        <v>2829</v>
      </c>
      <c r="BD25" s="110">
        <f>'Sauk Centre'!U25</f>
        <v>1428</v>
      </c>
      <c r="BE25" s="110">
        <f>Scanlon!U25</f>
        <v>296</v>
      </c>
      <c r="BF25" s="110">
        <f>Spicer!U25</f>
        <v>435</v>
      </c>
      <c r="BG25" s="110">
        <f>Staples!U25</f>
        <v>0</v>
      </c>
      <c r="BH25" s="110">
        <f>'St. Cloud Area'!U25</f>
        <v>109145</v>
      </c>
      <c r="BI25" s="110">
        <f>'St. Paul'!U25</f>
        <v>176162</v>
      </c>
      <c r="BJ25" s="110">
        <f>'St Peter'!U25</f>
        <v>972</v>
      </c>
      <c r="BK25" s="110">
        <f>'Two Harbors'!U25</f>
        <v>9397</v>
      </c>
      <c r="BL25" s="110">
        <f>Virginia!U25</f>
        <v>7733</v>
      </c>
      <c r="BM25" s="110">
        <f>'Waite Park'!U25</f>
        <v>0</v>
      </c>
      <c r="BN25" s="110">
        <f>Walker!U25</f>
        <v>1752</v>
      </c>
      <c r="BO25" s="110">
        <f>Warren!U25</f>
        <v>0</v>
      </c>
      <c r="BP25" s="110">
        <f>'West St. Paul'!U25</f>
        <v>2951</v>
      </c>
      <c r="BQ25" s="110">
        <f>Willmar!U25</f>
        <v>17732</v>
      </c>
      <c r="BR25" s="110"/>
      <c r="BS25" s="110">
        <f>Worthington!U25</f>
        <v>2953</v>
      </c>
      <c r="BT25" s="110"/>
      <c r="BU25" s="2">
        <f t="shared" ref="BU25:BU35" si="15">SUM(C25:BT25)</f>
        <v>1241315</v>
      </c>
    </row>
    <row r="26" spans="1:75" x14ac:dyDescent="0.2">
      <c r="A26">
        <v>2023</v>
      </c>
      <c r="B26" s="26" t="s">
        <v>2</v>
      </c>
      <c r="C26" s="111">
        <f>'Albert Lea'!U26</f>
        <v>4837</v>
      </c>
      <c r="D26" s="111">
        <f>Austin!U26</f>
        <v>4029</v>
      </c>
      <c r="E26" s="111">
        <f>Avon!U26</f>
        <v>730</v>
      </c>
      <c r="F26" s="111">
        <f>Baxter!U26</f>
        <v>5396</v>
      </c>
      <c r="G26" s="110">
        <f>Bemidji!U26</f>
        <v>7206</v>
      </c>
      <c r="H26" s="110"/>
      <c r="I26" s="110">
        <f>'Blue Earth'!U26</f>
        <v>822</v>
      </c>
      <c r="J26" s="110">
        <f>Brainerd!U26</f>
        <v>1885</v>
      </c>
      <c r="K26" s="110"/>
      <c r="L26" s="110">
        <f>Cambridge!U26</f>
        <v>2992</v>
      </c>
      <c r="M26" s="110">
        <f>'Clay Cty'!U26</f>
        <v>11958</v>
      </c>
      <c r="N26" s="110">
        <f>Clearwater!U26</f>
        <v>721</v>
      </c>
      <c r="O26" s="110">
        <f>Cloquet!U26</f>
        <v>10391</v>
      </c>
      <c r="P26" s="110">
        <f>'Cook Cty'!U26</f>
        <v>3390</v>
      </c>
      <c r="Q26" s="110">
        <f>'Detroit Lakes'!U25</f>
        <v>3693</v>
      </c>
      <c r="R26" s="110">
        <f>Duluth!U26</f>
        <v>78129</v>
      </c>
      <c r="S26" s="110">
        <f>'East Grand Forks'!U26</f>
        <v>0</v>
      </c>
      <c r="T26" s="110">
        <f>Edina!U26</f>
        <v>0</v>
      </c>
      <c r="U26" s="110">
        <f>'Elk River'!U26</f>
        <v>10638</v>
      </c>
      <c r="V26" s="110">
        <f>Excelsior!U26</f>
        <v>1396</v>
      </c>
      <c r="W26" s="110">
        <f>Fairmont!U26</f>
        <v>3749</v>
      </c>
      <c r="X26" s="110">
        <f>FergusFalls!U26</f>
        <v>7</v>
      </c>
      <c r="Y26" s="110">
        <f>'GKWMLL Sanitary'!U26</f>
        <v>114</v>
      </c>
      <c r="Z26" s="110"/>
      <c r="AA26" s="110">
        <f>Glenwood!U26</f>
        <v>603</v>
      </c>
      <c r="AB26" s="110">
        <f>'Grand Rapids'!U26</f>
        <v>0</v>
      </c>
      <c r="AC26" s="110">
        <f>Hennepin!U26</f>
        <v>47110</v>
      </c>
      <c r="AD26" s="110">
        <f>Hermantown!U26</f>
        <v>7448</v>
      </c>
      <c r="AE26" s="110">
        <f>Hutchinson!U26</f>
        <v>9786</v>
      </c>
      <c r="AF26" s="110">
        <f>'Int. Falls'!U26</f>
        <v>6665</v>
      </c>
      <c r="AG26" s="110">
        <f>'Itasca Cty'!U26</f>
        <v>0</v>
      </c>
      <c r="AH26" s="110"/>
      <c r="AI26" s="110"/>
      <c r="AJ26" s="110">
        <f>Lanesboro!U26</f>
        <v>1057</v>
      </c>
      <c r="AK26" s="110">
        <f>Litchfield!U26</f>
        <v>0</v>
      </c>
      <c r="AL26" s="110"/>
      <c r="AM26" s="110">
        <f>Mankato!U26</f>
        <v>24807</v>
      </c>
      <c r="AN26" s="110">
        <f>'Maple Grove'!U26</f>
        <v>0</v>
      </c>
      <c r="AO26" s="110">
        <f>Marshall!U26</f>
        <v>6481</v>
      </c>
      <c r="AP26" s="110">
        <f>Medford!U26</f>
        <v>63</v>
      </c>
      <c r="AQ26" s="110">
        <f>'Metro Housing'!U26</f>
        <v>0</v>
      </c>
      <c r="AR26" s="110">
        <f>Minneapolis!U24</f>
        <v>380632</v>
      </c>
      <c r="AS26" s="110">
        <f>Moorhead!U26</f>
        <v>0</v>
      </c>
      <c r="AT26" s="110">
        <f>'Moose Lake'!U26</f>
        <v>3127</v>
      </c>
      <c r="AU26" s="110">
        <f>'New London'!U26</f>
        <v>100</v>
      </c>
      <c r="AV26" s="110">
        <f>'New Ulm'!U26</f>
        <v>4858</v>
      </c>
      <c r="AW26" s="110">
        <f>'North Mankato'!U26</f>
        <v>1884</v>
      </c>
      <c r="AX26" s="110">
        <f>Oakdale!U26</f>
        <v>0</v>
      </c>
      <c r="AY26" s="110">
        <f>Owatonna!U26</f>
        <v>0</v>
      </c>
      <c r="AZ26" s="110">
        <f>Perham!U26</f>
        <v>2848</v>
      </c>
      <c r="BA26" s="110">
        <f>Proctor!U26</f>
        <v>4511</v>
      </c>
      <c r="BB26" s="110">
        <f>Rochester!U26</f>
        <v>143835</v>
      </c>
      <c r="BC26" s="110">
        <f>Rogers!U26</f>
        <v>5975</v>
      </c>
      <c r="BD26" s="110">
        <f>'Sauk Centre'!U26</f>
        <v>2464</v>
      </c>
      <c r="BE26" s="110">
        <f>Scanlon!U26</f>
        <v>203</v>
      </c>
      <c r="BF26" s="110">
        <f>Spicer!U26</f>
        <v>332</v>
      </c>
      <c r="BG26" s="110">
        <f>Staples!U26</f>
        <v>0</v>
      </c>
      <c r="BH26" s="110">
        <f>'St. Cloud Area'!U26</f>
        <v>34595</v>
      </c>
      <c r="BI26" s="110">
        <f>'St. Paul'!U26</f>
        <v>118369</v>
      </c>
      <c r="BJ26" s="110">
        <f>'St Peter'!U26</f>
        <v>2067</v>
      </c>
      <c r="BK26" s="110">
        <f>'Two Harbors'!U26</f>
        <v>5977</v>
      </c>
      <c r="BL26" s="110">
        <f>Virginia!U26</f>
        <v>7927</v>
      </c>
      <c r="BM26" s="110">
        <f>'Waite Park'!U26</f>
        <v>0</v>
      </c>
      <c r="BN26" s="110">
        <f>Walker!U26</f>
        <v>486</v>
      </c>
      <c r="BO26" s="110">
        <f>Warren!U26</f>
        <v>0</v>
      </c>
      <c r="BP26" s="110">
        <f>'West St. Paul'!U26</f>
        <v>6417</v>
      </c>
      <c r="BQ26" s="110">
        <f>Willmar!U26</f>
        <v>8264</v>
      </c>
      <c r="BR26" s="110"/>
      <c r="BS26" s="110">
        <f>Worthington!U26</f>
        <v>2723</v>
      </c>
      <c r="BT26" s="110"/>
      <c r="BU26" s="2">
        <f t="shared" si="15"/>
        <v>993697</v>
      </c>
    </row>
    <row r="27" spans="1:75" x14ac:dyDescent="0.2">
      <c r="A27">
        <v>2023</v>
      </c>
      <c r="B27" s="26" t="s">
        <v>3</v>
      </c>
      <c r="C27" s="111">
        <f>'Albert Lea'!U27</f>
        <v>6300</v>
      </c>
      <c r="D27" s="111">
        <f>Austin!U27</f>
        <v>4370</v>
      </c>
      <c r="E27" s="111">
        <f>Avon!U27</f>
        <v>981</v>
      </c>
      <c r="F27" s="111">
        <f>Baxter!U27</f>
        <v>3362</v>
      </c>
      <c r="G27" s="110">
        <f>Bemidji!U27</f>
        <v>10695</v>
      </c>
      <c r="H27" s="110"/>
      <c r="I27" s="110">
        <f>'Blue Earth'!U27</f>
        <v>976</v>
      </c>
      <c r="J27" s="110">
        <f>Brainerd!U27</f>
        <v>11572</v>
      </c>
      <c r="K27" s="110"/>
      <c r="L27" s="110">
        <f>Cambridge!U27</f>
        <v>2195</v>
      </c>
      <c r="M27" s="110">
        <f>'Clay Cty'!U27</f>
        <v>9156</v>
      </c>
      <c r="N27" s="110">
        <f>Clearwater!U27</f>
        <v>263</v>
      </c>
      <c r="O27" s="110">
        <f>Cloquet!U27</f>
        <v>11551</v>
      </c>
      <c r="P27" s="110">
        <f>'Cook Cty'!U27</f>
        <v>3857</v>
      </c>
      <c r="Q27" s="110">
        <f>'Detroit Lakes'!U26</f>
        <v>13209</v>
      </c>
      <c r="R27" s="110">
        <f>Duluth!U27</f>
        <v>124337</v>
      </c>
      <c r="S27" s="110">
        <f>'East Grand Forks'!U27</f>
        <v>0</v>
      </c>
      <c r="T27" s="110">
        <f>Edina!U27</f>
        <v>0</v>
      </c>
      <c r="U27" s="110">
        <f>'Elk River'!U27</f>
        <v>6361</v>
      </c>
      <c r="V27" s="110">
        <f>Excelsior!U27</f>
        <v>1435</v>
      </c>
      <c r="W27" s="110">
        <f>Fairmont!U27</f>
        <v>2542</v>
      </c>
      <c r="X27" s="110">
        <f>FergusFalls!U27</f>
        <v>-73</v>
      </c>
      <c r="Y27" s="110">
        <f>'GKWMLL Sanitary'!U27</f>
        <v>697</v>
      </c>
      <c r="Z27" s="110"/>
      <c r="AA27" s="110">
        <f>Glenwood!U27</f>
        <v>2234</v>
      </c>
      <c r="AB27" s="110">
        <f>'Grand Rapids'!U27</f>
        <v>0</v>
      </c>
      <c r="AC27" s="110">
        <f>Hennepin!U27</f>
        <v>289184</v>
      </c>
      <c r="AD27" s="110">
        <f>Hermantown!U27</f>
        <v>8581</v>
      </c>
      <c r="AE27" s="110">
        <f>Hutchinson!U27</f>
        <v>10840</v>
      </c>
      <c r="AF27" s="110">
        <f>'Int. Falls'!U27</f>
        <v>11497</v>
      </c>
      <c r="AG27" s="110">
        <f>'Itasca Cty'!U27</f>
        <v>0</v>
      </c>
      <c r="AH27" s="110"/>
      <c r="AI27" s="110"/>
      <c r="AJ27" s="110">
        <f>Lanesboro!U27</f>
        <v>111</v>
      </c>
      <c r="AK27" s="110">
        <f>Litchfield!U27</f>
        <v>0</v>
      </c>
      <c r="AL27" s="110"/>
      <c r="AM27" s="110">
        <f>Mankato!U27</f>
        <v>20741</v>
      </c>
      <c r="AN27" s="110">
        <f>'Maple Grove'!U27</f>
        <v>82</v>
      </c>
      <c r="AO27" s="110">
        <f>Marshall!U27</f>
        <v>12260</v>
      </c>
      <c r="AP27" s="110">
        <f>Medford!U27</f>
        <v>76</v>
      </c>
      <c r="AQ27" s="110">
        <f>'Metro Housing'!U27</f>
        <v>0</v>
      </c>
      <c r="AR27" s="110">
        <f>Minneapolis!U25</f>
        <v>418497</v>
      </c>
      <c r="AS27" s="110">
        <f>Moorhead!U27</f>
        <v>0</v>
      </c>
      <c r="AT27" s="110">
        <f>'Moose Lake'!U27</f>
        <v>2912</v>
      </c>
      <c r="AU27" s="110">
        <f>'New London'!U27</f>
        <v>522</v>
      </c>
      <c r="AV27" s="110">
        <f>'New Ulm'!U27</f>
        <v>6567</v>
      </c>
      <c r="AW27" s="110">
        <f>'North Mankato'!U27</f>
        <v>3985</v>
      </c>
      <c r="AX27" s="110">
        <f>Oakdale!U27</f>
        <v>0</v>
      </c>
      <c r="AY27" s="110">
        <f>Owatonna!U27</f>
        <v>0</v>
      </c>
      <c r="AZ27" s="110">
        <f>Perham!U27</f>
        <v>3341</v>
      </c>
      <c r="BA27" s="110">
        <f>Proctor!U27</f>
        <v>5841</v>
      </c>
      <c r="BB27" s="110">
        <f>Rochester!U27</f>
        <v>211448</v>
      </c>
      <c r="BC27" s="110">
        <f>Rogers!U27</f>
        <v>5197</v>
      </c>
      <c r="BD27" s="110">
        <f>'Sauk Centre'!U27</f>
        <v>1899</v>
      </c>
      <c r="BE27" s="110">
        <f>Scanlon!U27</f>
        <v>170</v>
      </c>
      <c r="BF27" s="110">
        <f>Spicer!U27</f>
        <v>546</v>
      </c>
      <c r="BG27" s="110">
        <f>Staples!U27</f>
        <v>0</v>
      </c>
      <c r="BH27" s="110">
        <f>'St. Cloud Area'!U27</f>
        <v>66502</v>
      </c>
      <c r="BI27" s="110">
        <f>'St. Paul'!U27</f>
        <v>155351</v>
      </c>
      <c r="BJ27" s="110">
        <f>'St Peter'!U27</f>
        <v>2625</v>
      </c>
      <c r="BK27" s="110">
        <f>'Two Harbors'!U27</f>
        <v>4551</v>
      </c>
      <c r="BL27" s="110">
        <f>Virginia!U27</f>
        <v>7770</v>
      </c>
      <c r="BM27" s="110">
        <f>'Waite Park'!U27</f>
        <v>286</v>
      </c>
      <c r="BN27" s="110">
        <f>Walker!U27</f>
        <v>890</v>
      </c>
      <c r="BO27" s="110">
        <f>Warren!U27</f>
        <v>0</v>
      </c>
      <c r="BP27" s="110">
        <f>'West St. Paul'!U27</f>
        <v>4491</v>
      </c>
      <c r="BQ27" s="110">
        <f>Willmar!U27</f>
        <v>10309</v>
      </c>
      <c r="BR27" s="110"/>
      <c r="BS27" s="110">
        <f>Worthington!U27</f>
        <v>4941</v>
      </c>
      <c r="BT27" s="110"/>
      <c r="BU27" s="2">
        <f t="shared" si="15"/>
        <v>1488033</v>
      </c>
    </row>
    <row r="28" spans="1:75" x14ac:dyDescent="0.2">
      <c r="A28">
        <v>2023</v>
      </c>
      <c r="B28" s="26" t="s">
        <v>4</v>
      </c>
      <c r="C28" s="111">
        <f>'Albert Lea'!U28</f>
        <v>5373</v>
      </c>
      <c r="D28" s="111">
        <f>Austin!U28</f>
        <v>3926</v>
      </c>
      <c r="E28" s="111">
        <f>Avon!U28</f>
        <v>1012</v>
      </c>
      <c r="F28" s="111">
        <f>Baxter!U28</f>
        <v>3886</v>
      </c>
      <c r="G28" s="110">
        <f>Bemidji!U28</f>
        <v>7708</v>
      </c>
      <c r="H28" s="110"/>
      <c r="I28" s="110">
        <f>'Blue Earth'!U28</f>
        <v>1678</v>
      </c>
      <c r="J28" s="110">
        <f>Brainerd!U28</f>
        <v>3308</v>
      </c>
      <c r="K28" s="110"/>
      <c r="L28" s="110">
        <f>Cambridge!U28</f>
        <v>3832</v>
      </c>
      <c r="M28" s="110">
        <f>'Clay Cty'!U28</f>
        <v>12713</v>
      </c>
      <c r="N28" s="110">
        <f>Clearwater!U28</f>
        <v>202</v>
      </c>
      <c r="O28" s="110">
        <f>Cloquet!U28</f>
        <v>18023</v>
      </c>
      <c r="P28" s="110">
        <f>'Cook Cty'!U28</f>
        <v>1606</v>
      </c>
      <c r="Q28" s="110">
        <f>'Detroit Lakes'!U27</f>
        <v>5750</v>
      </c>
      <c r="R28" s="110">
        <f>Duluth!U28</f>
        <v>80309</v>
      </c>
      <c r="S28" s="110">
        <f>'East Grand Forks'!U28</f>
        <v>21</v>
      </c>
      <c r="T28" s="110">
        <f>Edina!U28</f>
        <v>13244</v>
      </c>
      <c r="U28" s="110">
        <f>'Elk River'!U28</f>
        <v>13802</v>
      </c>
      <c r="V28" s="110">
        <f>Excelsior!U28</f>
        <v>898</v>
      </c>
      <c r="W28" s="110">
        <f>Fairmont!U28</f>
        <v>2000</v>
      </c>
      <c r="X28" s="110">
        <f>FergusFalls!U28</f>
        <v>71</v>
      </c>
      <c r="Y28" s="110">
        <f>'GKWMLL Sanitary'!U28</f>
        <v>333</v>
      </c>
      <c r="Z28" s="110"/>
      <c r="AA28" s="110">
        <f>Glenwood!U28</f>
        <v>1500</v>
      </c>
      <c r="AB28" s="110">
        <f>'Grand Rapids'!U28</f>
        <v>2887</v>
      </c>
      <c r="AC28" s="110">
        <f>Hennepin!U28</f>
        <v>235169</v>
      </c>
      <c r="AD28" s="110">
        <f>Hermantown!U28</f>
        <v>10695</v>
      </c>
      <c r="AE28" s="110">
        <f>Hutchinson!U28</f>
        <v>-28112</v>
      </c>
      <c r="AF28" s="110">
        <f>'Int. Falls'!U28</f>
        <v>10016</v>
      </c>
      <c r="AG28" s="110">
        <f>'Itasca Cty'!U28</f>
        <v>15355</v>
      </c>
      <c r="AH28" s="110"/>
      <c r="AI28" s="110"/>
      <c r="AJ28" s="110">
        <f>Lanesboro!U28</f>
        <v>404</v>
      </c>
      <c r="AK28" s="110">
        <f>Litchfield!U28</f>
        <v>0</v>
      </c>
      <c r="AL28" s="110"/>
      <c r="AM28" s="110">
        <f>Mankato!U28</f>
        <v>23179</v>
      </c>
      <c r="AN28" s="110">
        <f>'Maple Grove'!U28</f>
        <v>24137</v>
      </c>
      <c r="AO28" s="110">
        <f>Marshall!U28</f>
        <v>11837</v>
      </c>
      <c r="AP28" s="110">
        <f>Medford!U28</f>
        <v>49</v>
      </c>
      <c r="AQ28" s="110">
        <f>'Metro Housing'!U28</f>
        <v>0</v>
      </c>
      <c r="AR28" s="110">
        <f>Minneapolis!U26</f>
        <v>336821</v>
      </c>
      <c r="AS28" s="110">
        <f>Moorhead!U28</f>
        <v>3965</v>
      </c>
      <c r="AT28" s="110">
        <f>'Moose Lake'!U28</f>
        <v>1450</v>
      </c>
      <c r="AU28" s="110">
        <f>'New London'!U28</f>
        <v>254</v>
      </c>
      <c r="AV28" s="110">
        <f>'New Ulm'!U28</f>
        <v>10991</v>
      </c>
      <c r="AW28" s="110">
        <f>'North Mankato'!U28</f>
        <v>2682</v>
      </c>
      <c r="AX28" s="110">
        <f>Oakdale!U28</f>
        <v>9135</v>
      </c>
      <c r="AY28" s="110">
        <f>Owatonna!U28</f>
        <v>0</v>
      </c>
      <c r="AZ28" s="110">
        <f>Perham!U28</f>
        <v>3717</v>
      </c>
      <c r="BA28" s="110">
        <f>Proctor!U28</f>
        <v>3774</v>
      </c>
      <c r="BB28" s="110">
        <f>Rochester!U28</f>
        <v>84934</v>
      </c>
      <c r="BC28" s="110">
        <f>Rogers!U28</f>
        <v>6287</v>
      </c>
      <c r="BD28" s="110">
        <f>'Sauk Centre'!U28</f>
        <v>913</v>
      </c>
      <c r="BE28" s="110">
        <f>Scanlon!U28</f>
        <v>171</v>
      </c>
      <c r="BF28" s="110">
        <f>Spicer!U28</f>
        <v>154</v>
      </c>
      <c r="BG28" s="110">
        <f>Staples!U28</f>
        <v>1073</v>
      </c>
      <c r="BH28" s="110">
        <f>'St. Cloud Area'!U28</f>
        <v>44667</v>
      </c>
      <c r="BI28" s="110">
        <f>'St. Paul'!U28</f>
        <v>108022</v>
      </c>
      <c r="BJ28" s="110">
        <f>'St Peter'!U28</f>
        <v>2539</v>
      </c>
      <c r="BK28" s="110">
        <f>'Two Harbors'!U28</f>
        <v>13368</v>
      </c>
      <c r="BL28" s="110">
        <f>Virginia!U28</f>
        <v>7201</v>
      </c>
      <c r="BM28" s="110">
        <f>'Waite Park'!U28</f>
        <v>5784</v>
      </c>
      <c r="BN28" s="110">
        <f>Walker!U28</f>
        <v>548</v>
      </c>
      <c r="BO28" s="110">
        <f>Warren!U28</f>
        <v>62</v>
      </c>
      <c r="BP28" s="110">
        <f>'West St. Paul'!U28</f>
        <v>2655</v>
      </c>
      <c r="BQ28" s="110">
        <f>Willmar!U28</f>
        <v>9089</v>
      </c>
      <c r="BR28" s="110"/>
      <c r="BS28" s="110">
        <f>Worthington!U28</f>
        <v>3675</v>
      </c>
      <c r="BT28" s="110"/>
      <c r="BU28" s="2">
        <f t="shared" si="15"/>
        <v>1150742</v>
      </c>
    </row>
    <row r="29" spans="1:75" x14ac:dyDescent="0.2">
      <c r="A29">
        <v>2023</v>
      </c>
      <c r="B29" s="26" t="s">
        <v>5</v>
      </c>
      <c r="C29" s="111">
        <f>'Albert Lea'!U29</f>
        <v>6989</v>
      </c>
      <c r="D29" s="111">
        <f>Austin!U29</f>
        <v>3396</v>
      </c>
      <c r="E29" s="111">
        <f>Avon!U29</f>
        <v>1139</v>
      </c>
      <c r="F29" s="111">
        <f>Baxter!U29</f>
        <v>5391</v>
      </c>
      <c r="G29" s="110">
        <f>Bemidji!U29</f>
        <v>12779</v>
      </c>
      <c r="H29" s="110"/>
      <c r="I29" s="110">
        <f>'Blue Earth'!U29</f>
        <v>1793</v>
      </c>
      <c r="J29" s="110">
        <f>Brainerd!U29</f>
        <v>4477</v>
      </c>
      <c r="K29" s="110"/>
      <c r="L29" s="110">
        <f>Cambridge!U29</f>
        <v>2892</v>
      </c>
      <c r="M29" s="110">
        <f>'Clay Cty'!U29</f>
        <v>41819</v>
      </c>
      <c r="N29" s="110">
        <f>Clearwater!U29</f>
        <v>2329</v>
      </c>
      <c r="O29" s="110">
        <f>Cloquet!U29</f>
        <v>18107</v>
      </c>
      <c r="P29" s="110">
        <f>'Cook Cty'!U29</f>
        <v>3375</v>
      </c>
      <c r="Q29" s="110">
        <f>'Detroit Lakes'!U28</f>
        <v>7753</v>
      </c>
      <c r="R29" s="110">
        <f>Duluth!U29</f>
        <v>118263</v>
      </c>
      <c r="S29" s="110">
        <f>'East Grand Forks'!U29</f>
        <v>0</v>
      </c>
      <c r="T29" s="110">
        <f>Edina!U29</f>
        <v>16594</v>
      </c>
      <c r="U29" s="110">
        <f>'Elk River'!U29</f>
        <v>10935</v>
      </c>
      <c r="V29" s="110">
        <f>Excelsior!U29</f>
        <v>1608</v>
      </c>
      <c r="W29" s="110">
        <f>Fairmont!U29</f>
        <v>3190</v>
      </c>
      <c r="X29" s="110">
        <f>FergusFalls!U29</f>
        <v>6</v>
      </c>
      <c r="Y29" s="110">
        <f>'GKWMLL Sanitary'!U29</f>
        <v>393</v>
      </c>
      <c r="Z29" s="110"/>
      <c r="AA29" s="110">
        <f>Glenwood!U29</f>
        <v>665</v>
      </c>
      <c r="AB29" s="110">
        <f>'Grand Rapids'!U29</f>
        <v>7234</v>
      </c>
      <c r="AC29" s="110">
        <f>Hennepin!U29</f>
        <v>270957</v>
      </c>
      <c r="AD29" s="110">
        <f>Hermantown!U29</f>
        <v>12618</v>
      </c>
      <c r="AE29" s="110">
        <f>Hutchinson!U29</f>
        <v>8830</v>
      </c>
      <c r="AF29" s="110">
        <f>'Int. Falls'!U29</f>
        <v>11679</v>
      </c>
      <c r="AG29" s="110">
        <f>'Itasca Cty'!U29</f>
        <v>30813</v>
      </c>
      <c r="AH29" s="110"/>
      <c r="AI29" s="110"/>
      <c r="AJ29" s="110">
        <f>Lanesboro!U29</f>
        <v>420</v>
      </c>
      <c r="AK29" s="110">
        <f>Litchfield!U29</f>
        <v>0</v>
      </c>
      <c r="AL29" s="110"/>
      <c r="AM29" s="110">
        <f>Mankato!U29</f>
        <v>19213</v>
      </c>
      <c r="AN29" s="110">
        <f>'Maple Grove'!U29</f>
        <v>50718</v>
      </c>
      <c r="AO29" s="110">
        <f>Marshall!U29</f>
        <v>10673</v>
      </c>
      <c r="AP29" s="110">
        <f>Medford!U29</f>
        <v>157</v>
      </c>
      <c r="AQ29" s="110">
        <f>'Metro Housing'!U29</f>
        <v>0</v>
      </c>
      <c r="AR29" s="110">
        <f>Minneapolis!U27</f>
        <v>306744</v>
      </c>
      <c r="AS29" s="110">
        <f>Moorhead!U29</f>
        <v>4760</v>
      </c>
      <c r="AT29" s="110">
        <f>'Moose Lake'!U29</f>
        <v>3148</v>
      </c>
      <c r="AU29" s="110">
        <f>'New London'!U29</f>
        <v>525</v>
      </c>
      <c r="AV29" s="110">
        <f>'New Ulm'!U29</f>
        <v>7907</v>
      </c>
      <c r="AW29" s="110">
        <f>'North Mankato'!U29</f>
        <v>2704</v>
      </c>
      <c r="AX29" s="110">
        <f>Oakdale!U29</f>
        <v>8758</v>
      </c>
      <c r="AY29" s="110">
        <f>Owatonna!U29</f>
        <v>0</v>
      </c>
      <c r="AZ29" s="110">
        <f>Perham!U29</f>
        <v>4506</v>
      </c>
      <c r="BA29" s="110">
        <f>Proctor!U29</f>
        <v>14389</v>
      </c>
      <c r="BB29" s="110">
        <f>Rochester!U29</f>
        <v>175736</v>
      </c>
      <c r="BC29" s="110">
        <f>Rogers!U29</f>
        <v>7785</v>
      </c>
      <c r="BD29" s="110">
        <f>'Sauk Centre'!U29</f>
        <v>2674</v>
      </c>
      <c r="BE29" s="110">
        <f>Scanlon!U29</f>
        <v>94</v>
      </c>
      <c r="BF29" s="110">
        <f>Spicer!U29</f>
        <v>302</v>
      </c>
      <c r="BG29" s="110">
        <f>Staples!U29</f>
        <v>1007</v>
      </c>
      <c r="BH29" s="110">
        <f>'St. Cloud Area'!U29</f>
        <v>52627</v>
      </c>
      <c r="BI29" s="110">
        <f>'St. Paul'!U29</f>
        <v>183718</v>
      </c>
      <c r="BJ29" s="110">
        <f>'St Peter'!U29</f>
        <v>2595</v>
      </c>
      <c r="BK29" s="110">
        <f>'Two Harbors'!U29</f>
        <v>9752</v>
      </c>
      <c r="BL29" s="110">
        <f>Virginia!U29</f>
        <v>9031</v>
      </c>
      <c r="BM29" s="110">
        <f>'Waite Park'!U29</f>
        <v>10485</v>
      </c>
      <c r="BN29" s="110">
        <f>Walker!U29</f>
        <v>1209</v>
      </c>
      <c r="BO29" s="110">
        <f>Warren!U29</f>
        <v>42</v>
      </c>
      <c r="BP29" s="110">
        <f>'West St. Paul'!U29</f>
        <v>6416</v>
      </c>
      <c r="BQ29" s="110">
        <f>Willmar!U29</f>
        <v>10485</v>
      </c>
      <c r="BR29" s="110"/>
      <c r="BS29" s="110">
        <f>Worthington!U29</f>
        <v>3996</v>
      </c>
      <c r="BT29" s="110"/>
      <c r="BU29" s="2">
        <f t="shared" si="15"/>
        <v>1518600</v>
      </c>
    </row>
    <row r="30" spans="1:75" x14ac:dyDescent="0.2">
      <c r="A30">
        <v>2023</v>
      </c>
      <c r="B30" s="26" t="s">
        <v>6</v>
      </c>
      <c r="C30" s="111">
        <f>'Albert Lea'!U30</f>
        <v>9700</v>
      </c>
      <c r="D30" s="111">
        <f>Austin!U30</f>
        <v>4944</v>
      </c>
      <c r="E30" s="111">
        <f>Avon!U30</f>
        <v>1414</v>
      </c>
      <c r="F30" s="111">
        <f>Baxter!U30</f>
        <v>20696</v>
      </c>
      <c r="G30" s="110">
        <f>Bemidji!U30</f>
        <v>11531</v>
      </c>
      <c r="H30" s="110"/>
      <c r="I30" s="110">
        <f>'Blue Earth'!U30</f>
        <v>2943</v>
      </c>
      <c r="J30" s="110">
        <f>Brainerd!U30</f>
        <v>7479</v>
      </c>
      <c r="K30" s="110"/>
      <c r="L30" s="110">
        <f>Cambridge!U30</f>
        <v>4485</v>
      </c>
      <c r="M30" s="110">
        <f>'Clay Cty'!U30</f>
        <v>21896</v>
      </c>
      <c r="N30" s="110">
        <f>Clearwater!U30</f>
        <v>387</v>
      </c>
      <c r="O30" s="110">
        <f>Cloquet!U30</f>
        <v>-19636</v>
      </c>
      <c r="P30" s="110">
        <f>'Cook Cty'!U30</f>
        <v>8764</v>
      </c>
      <c r="Q30" s="110">
        <f>'Detroit Lakes'!U29</f>
        <v>7840</v>
      </c>
      <c r="R30" s="110">
        <f>Duluth!U30</f>
        <v>130906</v>
      </c>
      <c r="S30" s="110">
        <f>'East Grand Forks'!U30</f>
        <v>0</v>
      </c>
      <c r="T30" s="110">
        <f>Edina!U30</f>
        <v>27699</v>
      </c>
      <c r="U30" s="110">
        <f>'Elk River'!U30</f>
        <v>14391</v>
      </c>
      <c r="V30" s="110">
        <f>Excelsior!U30</f>
        <v>2085</v>
      </c>
      <c r="W30" s="110">
        <f>Fairmont!U30</f>
        <v>5017</v>
      </c>
      <c r="X30" s="110">
        <f>FergusFalls!U30</f>
        <v>652</v>
      </c>
      <c r="Y30" s="110">
        <f>'GKWMLL Sanitary'!U30</f>
        <v>1112</v>
      </c>
      <c r="Z30" s="110"/>
      <c r="AA30" s="110">
        <f>Glenwood!U30</f>
        <v>714</v>
      </c>
      <c r="AB30" s="110">
        <f>'Grand Rapids'!U30</f>
        <v>7734</v>
      </c>
      <c r="AC30" s="110">
        <f>Hennepin!U30</f>
        <v>358380</v>
      </c>
      <c r="AD30" s="110">
        <f>Hermantown!U30</f>
        <v>13708</v>
      </c>
      <c r="AE30" s="110">
        <f>Hutchinson!U30</f>
        <v>9208</v>
      </c>
      <c r="AF30" s="110">
        <f>'Int. Falls'!U30</f>
        <v>11922</v>
      </c>
      <c r="AG30" s="110">
        <f>'Itasca Cty'!U30</f>
        <v>30331</v>
      </c>
      <c r="AH30" s="110"/>
      <c r="AI30" s="110"/>
      <c r="AJ30" s="110">
        <f>Lanesboro!U30</f>
        <v>525</v>
      </c>
      <c r="AK30" s="110">
        <f>Litchfield!U30</f>
        <v>0</v>
      </c>
      <c r="AL30" s="110"/>
      <c r="AM30" s="110">
        <f>Mankato!U30</f>
        <v>27506</v>
      </c>
      <c r="AN30" s="110">
        <f>'Maple Grove'!U30</f>
        <v>69194</v>
      </c>
      <c r="AO30" s="110">
        <f>Marshall!U30</f>
        <v>12124</v>
      </c>
      <c r="AP30" s="110">
        <f>Medford!U30</f>
        <v>69</v>
      </c>
      <c r="AQ30" s="110">
        <f>'Metro Housing'!U30</f>
        <v>0</v>
      </c>
      <c r="AR30" s="110">
        <f>Minneapolis!U28</f>
        <v>303171</v>
      </c>
      <c r="AS30" s="110">
        <f>Moorhead!U30</f>
        <v>12674</v>
      </c>
      <c r="AT30" s="110">
        <f>'Moose Lake'!U30</f>
        <v>3841</v>
      </c>
      <c r="AU30" s="110">
        <f>'New London'!U30</f>
        <v>406</v>
      </c>
      <c r="AV30" s="110">
        <f>'New Ulm'!U30</f>
        <v>10155</v>
      </c>
      <c r="AW30" s="110">
        <f>'North Mankato'!U30</f>
        <v>3898</v>
      </c>
      <c r="AX30" s="110">
        <f>Oakdale!U30</f>
        <v>18944</v>
      </c>
      <c r="AY30" s="110">
        <f>Owatonna!U30</f>
        <v>0</v>
      </c>
      <c r="AZ30" s="110">
        <f>Perham!U30</f>
        <v>6281</v>
      </c>
      <c r="BA30" s="110">
        <f>Proctor!U30</f>
        <v>3420</v>
      </c>
      <c r="BB30" s="110">
        <f>Rochester!U30</f>
        <v>184167</v>
      </c>
      <c r="BC30" s="110">
        <f>Rogers!U30</f>
        <v>9490</v>
      </c>
      <c r="BD30" s="110">
        <f>'Sauk Centre'!U30</f>
        <v>3135</v>
      </c>
      <c r="BE30" s="110">
        <f>Scanlon!U30</f>
        <v>145</v>
      </c>
      <c r="BF30" s="110">
        <f>Spicer!U30</f>
        <v>543</v>
      </c>
      <c r="BG30" s="110">
        <f>Staples!U30</f>
        <v>3023</v>
      </c>
      <c r="BH30" s="110">
        <f>'St. Cloud Area'!U30</f>
        <v>71529</v>
      </c>
      <c r="BI30" s="110">
        <f>'St. Paul'!U30</f>
        <v>250623</v>
      </c>
      <c r="BJ30" s="110">
        <f>'St Peter'!U30</f>
        <v>3338</v>
      </c>
      <c r="BK30" s="110">
        <f>'Two Harbors'!U30</f>
        <v>5188</v>
      </c>
      <c r="BL30" s="110">
        <f>Virginia!U30</f>
        <v>19499</v>
      </c>
      <c r="BM30" s="110">
        <f>'Waite Park'!U30</f>
        <v>14370</v>
      </c>
      <c r="BN30" s="110">
        <f>Walker!U30</f>
        <v>1366</v>
      </c>
      <c r="BO30" s="110">
        <f>Warren!U30</f>
        <v>112</v>
      </c>
      <c r="BP30" s="110">
        <f>'West St. Paul'!U30</f>
        <v>7682</v>
      </c>
      <c r="BQ30" s="110">
        <f>Willmar!U30</f>
        <v>15115</v>
      </c>
      <c r="BR30" s="110"/>
      <c r="BS30" s="110">
        <f>Worthington!U30</f>
        <v>8359</v>
      </c>
      <c r="BT30" s="110"/>
      <c r="BU30" s="2">
        <f t="shared" si="15"/>
        <v>1766194</v>
      </c>
    </row>
    <row r="31" spans="1:75" x14ac:dyDescent="0.2">
      <c r="A31">
        <v>2023</v>
      </c>
      <c r="B31" s="26" t="s">
        <v>7</v>
      </c>
      <c r="C31" s="111">
        <f>'Albert Lea'!U31</f>
        <v>6987</v>
      </c>
      <c r="D31" s="111">
        <f>Austin!U31</f>
        <v>3096</v>
      </c>
      <c r="E31" s="111">
        <f>Avon!U31</f>
        <v>1001</v>
      </c>
      <c r="F31" s="111">
        <f>Baxter!U31</f>
        <v>6631</v>
      </c>
      <c r="G31" s="110">
        <f>Bemidji!U31</f>
        <v>10385</v>
      </c>
      <c r="H31" s="110"/>
      <c r="I31" s="110">
        <f>'Blue Earth'!U31</f>
        <v>1302</v>
      </c>
      <c r="J31" s="110">
        <f>Brainerd!U31</f>
        <v>7016</v>
      </c>
      <c r="K31" s="110"/>
      <c r="L31" s="110">
        <f>Cambridge!U31</f>
        <v>2450</v>
      </c>
      <c r="M31" s="110">
        <f>'Clay Cty'!U31</f>
        <v>19873</v>
      </c>
      <c r="N31" s="110">
        <f>Clearwater!U31</f>
        <v>275</v>
      </c>
      <c r="O31" s="110">
        <f>Cloquet!U31</f>
        <v>12879</v>
      </c>
      <c r="P31" s="110">
        <f>'Cook Cty'!U31</f>
        <v>6817</v>
      </c>
      <c r="Q31" s="110">
        <f>'Detroit Lakes'!U30</f>
        <v>412</v>
      </c>
      <c r="R31" s="110">
        <f>Duluth!U31</f>
        <v>129727</v>
      </c>
      <c r="S31" s="110">
        <f>'East Grand Forks'!U31</f>
        <v>0</v>
      </c>
      <c r="T31" s="110">
        <f>Edina!U31</f>
        <v>19173</v>
      </c>
      <c r="U31" s="110">
        <f>'Elk River'!U31</f>
        <v>10267</v>
      </c>
      <c r="V31" s="110">
        <f>Excelsior!U31</f>
        <v>1380</v>
      </c>
      <c r="W31" s="110">
        <f>Fairmont!U31</f>
        <v>3420</v>
      </c>
      <c r="X31" s="110">
        <f>FergusFalls!U31</f>
        <v>171</v>
      </c>
      <c r="Y31" s="110">
        <f>'GKWMLL Sanitary'!U31</f>
        <v>642</v>
      </c>
      <c r="Z31" s="110"/>
      <c r="AA31" s="110">
        <f>Glenwood!U31</f>
        <v>593</v>
      </c>
      <c r="AB31" s="110">
        <f>'Grand Rapids'!U31</f>
        <v>6237</v>
      </c>
      <c r="AC31" s="110">
        <f>Hennepin!U31</f>
        <v>236963</v>
      </c>
      <c r="AD31" s="110">
        <f>Hermantown!U31</f>
        <v>13695</v>
      </c>
      <c r="AE31" s="110">
        <f>Hutchinson!U31</f>
        <v>7038</v>
      </c>
      <c r="AF31" s="110">
        <f>'Int. Falls'!U31</f>
        <v>12241</v>
      </c>
      <c r="AG31" s="110">
        <f>'Itasca Cty'!U31</f>
        <v>22443</v>
      </c>
      <c r="AH31" s="110"/>
      <c r="AI31" s="110"/>
      <c r="AJ31" s="110">
        <f>Lanesboro!U31</f>
        <v>9</v>
      </c>
      <c r="AK31" s="110">
        <f>Litchfield!U31</f>
        <v>1306</v>
      </c>
      <c r="AL31" s="110"/>
      <c r="AM31" s="110">
        <f>Mankato!U31</f>
        <v>23878</v>
      </c>
      <c r="AN31" s="110">
        <f>'Maple Grove'!U31</f>
        <v>44513</v>
      </c>
      <c r="AO31" s="110">
        <f>Marshall!U31</f>
        <v>8657</v>
      </c>
      <c r="AP31" s="110">
        <f>Medford!U31</f>
        <v>121</v>
      </c>
      <c r="AQ31" s="110">
        <f>'Metro Housing'!U31</f>
        <v>0</v>
      </c>
      <c r="AR31" s="110">
        <f>Minneapolis!U29</f>
        <v>317860</v>
      </c>
      <c r="AS31" s="110">
        <f>Moorhead!U31</f>
        <v>10342</v>
      </c>
      <c r="AT31" s="110">
        <f>'Moose Lake'!U31</f>
        <v>1291</v>
      </c>
      <c r="AU31" s="110">
        <f>'New London'!U31</f>
        <v>712</v>
      </c>
      <c r="AV31" s="110">
        <f>'New Ulm'!U31</f>
        <v>7349</v>
      </c>
      <c r="AW31" s="110">
        <f>'North Mankato'!U31</f>
        <v>2726</v>
      </c>
      <c r="AX31" s="110">
        <f>Oakdale!U31</f>
        <v>7902</v>
      </c>
      <c r="AY31" s="110">
        <f>Owatonna!U31</f>
        <v>0</v>
      </c>
      <c r="AZ31" s="110">
        <f>Perham!U31</f>
        <v>3564</v>
      </c>
      <c r="BA31" s="110">
        <f>Proctor!U31</f>
        <v>20225</v>
      </c>
      <c r="BB31" s="110">
        <f>Rochester!U31</f>
        <v>150499</v>
      </c>
      <c r="BC31" s="110">
        <f>Rogers!U31</f>
        <v>8796</v>
      </c>
      <c r="BD31" s="110">
        <f>'Sauk Centre'!U31</f>
        <v>2209</v>
      </c>
      <c r="BE31" s="110">
        <f>Scanlon!U31</f>
        <v>102</v>
      </c>
      <c r="BF31" s="110">
        <f>Spicer!U31</f>
        <v>245</v>
      </c>
      <c r="BG31" s="110">
        <f>Staples!U31</f>
        <v>1571</v>
      </c>
      <c r="BH31" s="110">
        <f>'St. Cloud Area'!U31</f>
        <v>81860</v>
      </c>
      <c r="BI31" s="110">
        <f>'St. Paul'!U31</f>
        <v>129681</v>
      </c>
      <c r="BJ31" s="110">
        <f>'St Peter'!U31</f>
        <v>1155</v>
      </c>
      <c r="BK31" s="110">
        <f>'Two Harbors'!U31</f>
        <v>6807</v>
      </c>
      <c r="BL31" s="110">
        <f>Virginia!U31</f>
        <v>17245</v>
      </c>
      <c r="BM31" s="110">
        <f>'Waite Park'!U31</f>
        <v>13707</v>
      </c>
      <c r="BN31" s="110">
        <f>Walker!U31</f>
        <v>503</v>
      </c>
      <c r="BO31" s="110">
        <f>Warren!U31</f>
        <v>76</v>
      </c>
      <c r="BP31" s="110">
        <f>'West St. Paul'!U31</f>
        <v>3156</v>
      </c>
      <c r="BQ31" s="110">
        <f>Willmar!U31</f>
        <v>12548</v>
      </c>
      <c r="BR31" s="110"/>
      <c r="BS31" s="110">
        <f>Worthington!U31</f>
        <v>2786</v>
      </c>
      <c r="BT31" s="110"/>
      <c r="BU31" s="2">
        <f t="shared" si="15"/>
        <v>1426515</v>
      </c>
    </row>
    <row r="32" spans="1:75" x14ac:dyDescent="0.2">
      <c r="A32">
        <v>2023</v>
      </c>
      <c r="B32" s="26" t="s">
        <v>8</v>
      </c>
      <c r="C32" s="111">
        <f>'Albert Lea'!U32</f>
        <v>4653</v>
      </c>
      <c r="D32" s="111">
        <f>Austin!U32</f>
        <v>4457</v>
      </c>
      <c r="E32" s="111">
        <f>Avon!U32</f>
        <v>1330</v>
      </c>
      <c r="F32" s="111">
        <f>Baxter!U32</f>
        <v>4301</v>
      </c>
      <c r="G32" s="110">
        <f>Bemidji!U32</f>
        <v>15257</v>
      </c>
      <c r="H32" s="110"/>
      <c r="I32" s="110">
        <f>'Blue Earth'!U32</f>
        <v>1774</v>
      </c>
      <c r="J32" s="110">
        <f>Brainerd!U32</f>
        <v>4371</v>
      </c>
      <c r="K32" s="110"/>
      <c r="L32" s="110">
        <f>Cambridge!U32</f>
        <v>2982</v>
      </c>
      <c r="M32" s="110">
        <f>'Clay Cty'!U32</f>
        <v>22594</v>
      </c>
      <c r="N32" s="110">
        <f>Clearwater!U32</f>
        <v>738</v>
      </c>
      <c r="O32" s="110">
        <f>Cloquet!U32</f>
        <v>17746</v>
      </c>
      <c r="P32" s="110">
        <f>'Cook Cty'!U32</f>
        <v>4470</v>
      </c>
      <c r="Q32" s="110">
        <f>'Detroit Lakes'!U31</f>
        <v>79</v>
      </c>
      <c r="R32" s="110">
        <f>Duluth!U32</f>
        <v>116063</v>
      </c>
      <c r="S32" s="110">
        <f>'East Grand Forks'!U32</f>
        <v>0</v>
      </c>
      <c r="T32" s="110">
        <f>Edina!U32</f>
        <v>20947</v>
      </c>
      <c r="U32" s="110">
        <f>'Elk River'!U32</f>
        <v>8633</v>
      </c>
      <c r="V32" s="110">
        <f>Excelsior!U32</f>
        <v>4204</v>
      </c>
      <c r="W32" s="110">
        <f>Fairmont!U32</f>
        <v>5391</v>
      </c>
      <c r="X32" s="110">
        <f>FergusFalls!U32</f>
        <v>29</v>
      </c>
      <c r="Y32" s="110">
        <f>'GKWMLL Sanitary'!U32</f>
        <v>424</v>
      </c>
      <c r="Z32" s="110"/>
      <c r="AA32" s="110">
        <f>Glenwood!U32</f>
        <v>829</v>
      </c>
      <c r="AB32" s="110">
        <f>'Grand Rapids'!U32</f>
        <v>8523</v>
      </c>
      <c r="AC32" s="110">
        <f>Hennepin!U32</f>
        <v>241633</v>
      </c>
      <c r="AD32" s="110">
        <f>Hermantown!U32</f>
        <v>14657</v>
      </c>
      <c r="AE32" s="110">
        <f>Hutchinson!U32</f>
        <v>11710</v>
      </c>
      <c r="AF32" s="110">
        <f>'Int. Falls'!U32</f>
        <v>8107</v>
      </c>
      <c r="AG32" s="110">
        <f>'Itasca Cty'!U32</f>
        <v>29795</v>
      </c>
      <c r="AH32" s="110"/>
      <c r="AI32" s="110"/>
      <c r="AJ32" s="110">
        <f>Lanesboro!U32</f>
        <v>392</v>
      </c>
      <c r="AK32" s="110">
        <f>Litchfield!U32</f>
        <v>1880</v>
      </c>
      <c r="AL32" s="110"/>
      <c r="AM32" s="110">
        <f>Mankato!U32</f>
        <v>25550</v>
      </c>
      <c r="AN32" s="110">
        <f>'Maple Grove'!U32</f>
        <v>40952</v>
      </c>
      <c r="AO32" s="110">
        <f>Marshall!U32</f>
        <v>10514</v>
      </c>
      <c r="AP32" s="110">
        <f>Medford!U32</f>
        <v>56</v>
      </c>
      <c r="AQ32" s="110">
        <f>'Metro Housing'!U32</f>
        <v>0</v>
      </c>
      <c r="AR32" s="110">
        <f>Minneapolis!U30</f>
        <v>304175</v>
      </c>
      <c r="AS32" s="110">
        <f>Moorhead!U32</f>
        <v>10867</v>
      </c>
      <c r="AT32" s="110">
        <f>'Moose Lake'!U32</f>
        <v>2817</v>
      </c>
      <c r="AU32" s="110">
        <f>'New London'!U32</f>
        <v>668</v>
      </c>
      <c r="AV32" s="110">
        <f>'New Ulm'!U32</f>
        <v>8196</v>
      </c>
      <c r="AW32" s="110">
        <f>'North Mankato'!U32</f>
        <v>2712</v>
      </c>
      <c r="AX32" s="110">
        <f>Oakdale!U32</f>
        <v>12611</v>
      </c>
      <c r="AY32" s="110">
        <f>Owatonna!U32</f>
        <v>0</v>
      </c>
      <c r="AZ32" s="110">
        <f>Perham!U32</f>
        <v>5775</v>
      </c>
      <c r="BA32" s="110">
        <f>Proctor!U32</f>
        <v>13038</v>
      </c>
      <c r="BB32" s="110">
        <f>Rochester!U32</f>
        <v>186905</v>
      </c>
      <c r="BC32" s="110">
        <f>Rogers!U32</f>
        <v>9063</v>
      </c>
      <c r="BD32" s="110">
        <f>'Sauk Centre'!U32</f>
        <v>2551</v>
      </c>
      <c r="BE32" s="110">
        <f>Scanlon!U32</f>
        <v>131</v>
      </c>
      <c r="BF32" s="110">
        <f>Spicer!U32</f>
        <v>280</v>
      </c>
      <c r="BG32" s="110">
        <f>Staples!U32</f>
        <v>1278</v>
      </c>
      <c r="BH32" s="110">
        <f>'St. Cloud Area'!U32</f>
        <v>56099</v>
      </c>
      <c r="BI32" s="110">
        <f>'St. Paul'!U32</f>
        <v>171623</v>
      </c>
      <c r="BJ32" s="110">
        <f>'St Peter'!U32</f>
        <v>3136</v>
      </c>
      <c r="BK32" s="110">
        <f>'Two Harbors'!U32</f>
        <v>13491</v>
      </c>
      <c r="BL32" s="110">
        <f>Virginia!U32</f>
        <v>10703</v>
      </c>
      <c r="BM32" s="110">
        <f>'Waite Park'!U32</f>
        <v>11784</v>
      </c>
      <c r="BN32" s="110">
        <f>Walker!U32</f>
        <v>933</v>
      </c>
      <c r="BO32" s="110">
        <f>Warren!U32</f>
        <v>165</v>
      </c>
      <c r="BP32" s="110">
        <f>'West St. Paul'!U32</f>
        <v>6637</v>
      </c>
      <c r="BQ32" s="110">
        <f>Willmar!U32</f>
        <v>8819</v>
      </c>
      <c r="BR32" s="110"/>
      <c r="BS32" s="110">
        <f>Worthington!U32</f>
        <v>3934</v>
      </c>
      <c r="BT32" s="110"/>
      <c r="BU32" s="2">
        <f t="shared" si="15"/>
        <v>1483432</v>
      </c>
    </row>
    <row r="33" spans="1:75" x14ac:dyDescent="0.2">
      <c r="A33">
        <v>2023</v>
      </c>
      <c r="B33" s="26" t="s">
        <v>9</v>
      </c>
      <c r="C33" s="111">
        <f>'Albert Lea'!U33</f>
        <v>5858</v>
      </c>
      <c r="D33" s="111">
        <f>Austin!U33</f>
        <v>4821</v>
      </c>
      <c r="E33" s="111">
        <f>Avon!U33</f>
        <v>949</v>
      </c>
      <c r="F33" s="111">
        <f>Baxter!U33</f>
        <v>5589</v>
      </c>
      <c r="G33" s="110">
        <f>Bemidji!U33</f>
        <v>15438</v>
      </c>
      <c r="H33" s="110"/>
      <c r="I33" s="110">
        <f>'Blue Earth'!U33</f>
        <v>1841</v>
      </c>
      <c r="J33" s="110">
        <f>Brainerd!U33</f>
        <v>4201</v>
      </c>
      <c r="K33" s="110"/>
      <c r="L33" s="110">
        <f>Cambridge!U33</f>
        <v>3492</v>
      </c>
      <c r="M33" s="110">
        <f>'Clay Cty'!U33</f>
        <v>26777</v>
      </c>
      <c r="N33" s="110">
        <f>Clearwater!U33</f>
        <v>1193</v>
      </c>
      <c r="O33" s="110">
        <f>Cloquet!U33</f>
        <v>29578</v>
      </c>
      <c r="P33" s="110">
        <f>'Cook Cty'!U33</f>
        <v>10788</v>
      </c>
      <c r="Q33" s="110">
        <f>'Detroit Lakes'!U32</f>
        <v>3</v>
      </c>
      <c r="R33" s="110">
        <f>Duluth!U33</f>
        <v>119902</v>
      </c>
      <c r="S33" s="110">
        <f>'East Grand Forks'!U33</f>
        <v>-2897</v>
      </c>
      <c r="T33" s="110">
        <f>Edina!U33</f>
        <v>22018</v>
      </c>
      <c r="U33" s="110">
        <f>'Elk River'!U33</f>
        <v>7362</v>
      </c>
      <c r="V33" s="110">
        <f>Excelsior!U33</f>
        <v>1567</v>
      </c>
      <c r="W33" s="110">
        <f>Fairmont!U33</f>
        <v>4970</v>
      </c>
      <c r="X33" s="110">
        <f>FergusFalls!U33</f>
        <v>0</v>
      </c>
      <c r="Y33" s="110">
        <f>'GKWMLL Sanitary'!U33</f>
        <v>470</v>
      </c>
      <c r="Z33" s="110"/>
      <c r="AA33" s="110">
        <f>Glenwood!U33</f>
        <v>759</v>
      </c>
      <c r="AB33" s="110">
        <f>'Grand Rapids'!U33</f>
        <v>4314</v>
      </c>
      <c r="AC33" s="110">
        <f>Hennepin!U33</f>
        <v>260088</v>
      </c>
      <c r="AD33" s="110">
        <f>Hermantown!U33</f>
        <v>13781</v>
      </c>
      <c r="AE33" s="110">
        <f>Hutchinson!U33</f>
        <v>5548</v>
      </c>
      <c r="AF33" s="110">
        <f>'Int. Falls'!U33</f>
        <v>8920</v>
      </c>
      <c r="AG33" s="110">
        <f>'Itasca Cty'!U33</f>
        <v>28770</v>
      </c>
      <c r="AH33" s="110"/>
      <c r="AI33" s="110"/>
      <c r="AJ33" s="110">
        <f>Lanesboro!U33</f>
        <v>219</v>
      </c>
      <c r="AK33" s="110">
        <f>Litchfield!U33</f>
        <v>1686</v>
      </c>
      <c r="AL33" s="110"/>
      <c r="AM33" s="110">
        <f>Mankato!U33</f>
        <v>22394</v>
      </c>
      <c r="AN33" s="110">
        <f>'Maple Grove'!U33</f>
        <v>50408</v>
      </c>
      <c r="AO33" s="110">
        <f>Marshall!U33</f>
        <v>8669</v>
      </c>
      <c r="AP33" s="110">
        <f>Medford!U33</f>
        <v>69</v>
      </c>
      <c r="AQ33" s="110">
        <f>'Metro Housing'!U33</f>
        <v>471</v>
      </c>
      <c r="AR33" s="110">
        <f>Minneapolis!U31</f>
        <v>308786</v>
      </c>
      <c r="AS33" s="110">
        <f>Moorhead!U33</f>
        <v>10223</v>
      </c>
      <c r="AT33" s="110">
        <f>'Moose Lake'!U33</f>
        <v>1935</v>
      </c>
      <c r="AU33" s="110">
        <f>'New London'!U33</f>
        <v>236</v>
      </c>
      <c r="AV33" s="110">
        <f>'New Ulm'!U33</f>
        <v>6639</v>
      </c>
      <c r="AW33" s="110">
        <f>'North Mankato'!U33</f>
        <v>2948</v>
      </c>
      <c r="AX33" s="110">
        <f>Oakdale!U33</f>
        <v>15090</v>
      </c>
      <c r="AY33" s="110">
        <f>Owatonna!U33</f>
        <v>0</v>
      </c>
      <c r="AZ33" s="110">
        <f>Perham!U33</f>
        <v>5308</v>
      </c>
      <c r="BA33" s="110">
        <f>Proctor!U33</f>
        <v>5315</v>
      </c>
      <c r="BB33" s="110">
        <f>Rochester!U33</f>
        <v>166312</v>
      </c>
      <c r="BC33" s="110">
        <f>Rogers!U33</f>
        <v>12265</v>
      </c>
      <c r="BD33" s="110">
        <f>'Sauk Centre'!U33</f>
        <v>2600</v>
      </c>
      <c r="BE33" s="110">
        <f>Scanlon!U33</f>
        <v>115</v>
      </c>
      <c r="BF33" s="110">
        <f>Spicer!U33</f>
        <v>282</v>
      </c>
      <c r="BG33" s="110">
        <f>Staples!U33</f>
        <v>1019</v>
      </c>
      <c r="BH33" s="110">
        <f>'St. Cloud Area'!U33</f>
        <v>53798</v>
      </c>
      <c r="BI33" s="110">
        <f>'St. Paul'!U33</f>
        <v>207086</v>
      </c>
      <c r="BJ33" s="110">
        <f>'St Peter'!U33</f>
        <v>1673</v>
      </c>
      <c r="BK33" s="110">
        <f>'Two Harbors'!U33</f>
        <v>9523</v>
      </c>
      <c r="BL33" s="110">
        <f>Virginia!U33</f>
        <v>11542</v>
      </c>
      <c r="BM33" s="110">
        <f>'Waite Park'!U33</f>
        <v>11451</v>
      </c>
      <c r="BN33" s="110">
        <f>Walker!U33</f>
        <v>3615</v>
      </c>
      <c r="BO33" s="110">
        <f>Warren!U33</f>
        <v>69</v>
      </c>
      <c r="BP33" s="110">
        <f>'West St. Paul'!U33</f>
        <v>9898</v>
      </c>
      <c r="BQ33" s="110">
        <f>Willmar!U33</f>
        <v>15912</v>
      </c>
      <c r="BR33" s="110"/>
      <c r="BS33" s="110">
        <f>Worthington!U33</f>
        <v>8042</v>
      </c>
      <c r="BT33" s="110"/>
      <c r="BU33" s="2">
        <f t="shared" si="15"/>
        <v>1541698</v>
      </c>
    </row>
    <row r="34" spans="1:75" x14ac:dyDescent="0.2">
      <c r="A34">
        <v>2023</v>
      </c>
      <c r="B34" s="26" t="s">
        <v>50</v>
      </c>
      <c r="C34" s="111">
        <f>'Albert Lea'!U34</f>
        <v>6463</v>
      </c>
      <c r="D34" s="111">
        <f>Austin!U34</f>
        <v>4831</v>
      </c>
      <c r="E34" s="111">
        <f>Avon!U34</f>
        <v>1091</v>
      </c>
      <c r="F34" s="111">
        <f>Baxter!U34</f>
        <v>7165</v>
      </c>
      <c r="G34" s="110">
        <f>Bemidji!U34</f>
        <v>13459</v>
      </c>
      <c r="H34" s="110"/>
      <c r="I34" s="110">
        <f>'Blue Earth'!U34</f>
        <v>1616</v>
      </c>
      <c r="J34" s="110">
        <f>Brainerd!U34</f>
        <v>8273</v>
      </c>
      <c r="K34" s="110"/>
      <c r="L34" s="110">
        <f>Cambridge!U34</f>
        <v>3359</v>
      </c>
      <c r="M34" s="110">
        <f>'Clay Cty'!U34</f>
        <v>16881</v>
      </c>
      <c r="N34" s="110">
        <f>Clearwater!U34</f>
        <v>1117</v>
      </c>
      <c r="O34" s="110">
        <f>Cloquet!U34</f>
        <v>18577</v>
      </c>
      <c r="P34" s="110">
        <f>'Cook Cty'!U34</f>
        <v>5863</v>
      </c>
      <c r="Q34" s="110">
        <f>'Detroit Lakes'!U33</f>
        <v>10</v>
      </c>
      <c r="R34" s="110">
        <f>Duluth!U34</f>
        <v>161135</v>
      </c>
      <c r="S34" s="110">
        <f>'East Grand Forks'!U34</f>
        <v>0</v>
      </c>
      <c r="T34" s="110">
        <f>Edina!U34</f>
        <v>25320</v>
      </c>
      <c r="U34" s="110">
        <f>'Elk River'!U34</f>
        <v>7352</v>
      </c>
      <c r="V34" s="110">
        <f>Excelsior!U34</f>
        <v>1203</v>
      </c>
      <c r="W34" s="110">
        <f>Fairmont!U34</f>
        <v>3593</v>
      </c>
      <c r="X34" s="110">
        <f>FergusFalls!U34</f>
        <v>2981</v>
      </c>
      <c r="Y34" s="110">
        <f>'GKWMLL Sanitary'!U34</f>
        <v>518</v>
      </c>
      <c r="Z34" s="110"/>
      <c r="AA34" s="110">
        <f>Glenwood!U34</f>
        <v>1544</v>
      </c>
      <c r="AB34" s="110">
        <f>'Grand Rapids'!U34</f>
        <v>7709</v>
      </c>
      <c r="AC34" s="110">
        <f>Hennepin!U34</f>
        <v>269092</v>
      </c>
      <c r="AD34" s="110">
        <f>Hermantown!U34</f>
        <v>12183</v>
      </c>
      <c r="AE34" s="110">
        <f>Hutchinson!U34</f>
        <v>6264</v>
      </c>
      <c r="AF34" s="110">
        <f>'Int. Falls'!U34</f>
        <v>8653</v>
      </c>
      <c r="AG34" s="110">
        <f>'Itasca Cty'!U34</f>
        <v>30407</v>
      </c>
      <c r="AH34" s="110"/>
      <c r="AI34" s="110"/>
      <c r="AJ34" s="110">
        <f>Lanesboro!U34</f>
        <v>360</v>
      </c>
      <c r="AK34" s="110">
        <f>Litchfield!U34</f>
        <v>2319</v>
      </c>
      <c r="AL34" s="110"/>
      <c r="AM34" s="110">
        <f>Mankato!U34</f>
        <v>25585</v>
      </c>
      <c r="AN34" s="110">
        <f>'Maple Grove'!U34</f>
        <v>35146</v>
      </c>
      <c r="AO34" s="110">
        <f>Marshall!U34</f>
        <v>-71321</v>
      </c>
      <c r="AP34" s="110">
        <f>Medford!U34</f>
        <v>204</v>
      </c>
      <c r="AQ34" s="110">
        <f>'Metro Housing'!U34</f>
        <v>788853</v>
      </c>
      <c r="AR34" s="110">
        <f>Minneapolis!U32</f>
        <v>286957</v>
      </c>
      <c r="AS34" s="110">
        <f>Moorhead!U34</f>
        <v>8919</v>
      </c>
      <c r="AT34" s="110">
        <f>'Moose Lake'!U34</f>
        <v>2491</v>
      </c>
      <c r="AU34" s="110">
        <f>'New London'!U34</f>
        <v>558</v>
      </c>
      <c r="AV34" s="110">
        <f>'New Ulm'!U34</f>
        <v>6963</v>
      </c>
      <c r="AW34" s="110">
        <f>'North Mankato'!U34</f>
        <v>2670</v>
      </c>
      <c r="AX34" s="110">
        <f>Oakdale!U34</f>
        <v>9914</v>
      </c>
      <c r="AY34" s="110">
        <f>Owatonna!U34</f>
        <v>0</v>
      </c>
      <c r="AZ34" s="110">
        <f>Perham!U34</f>
        <v>3574</v>
      </c>
      <c r="BA34" s="110">
        <f>Proctor!U34</f>
        <v>5315</v>
      </c>
      <c r="BB34" s="110">
        <f>Rochester!U34</f>
        <v>140934</v>
      </c>
      <c r="BC34" s="110">
        <f>Rogers!U34</f>
        <v>5734</v>
      </c>
      <c r="BD34" s="110">
        <f>'Sauk Centre'!U34</f>
        <v>3472</v>
      </c>
      <c r="BE34" s="110">
        <f>Scanlon!U34</f>
        <v>166</v>
      </c>
      <c r="BF34" s="110">
        <f>Spicer!U34</f>
        <v>531</v>
      </c>
      <c r="BG34" s="110">
        <f>Staples!U34</f>
        <v>524</v>
      </c>
      <c r="BH34" s="110">
        <f>'St. Cloud Area'!U34</f>
        <v>60945</v>
      </c>
      <c r="BI34" s="110">
        <f>'St. Paul'!U34</f>
        <v>173682</v>
      </c>
      <c r="BJ34" s="110">
        <f>'St Peter'!U34</f>
        <v>1808</v>
      </c>
      <c r="BK34" s="110">
        <f>'Two Harbors'!U34</f>
        <v>6870</v>
      </c>
      <c r="BL34" s="110">
        <f>Virginia!U34</f>
        <v>11076</v>
      </c>
      <c r="BM34" s="110">
        <f>'Waite Park'!U34</f>
        <v>12934</v>
      </c>
      <c r="BN34" s="110">
        <f>Walker!U34</f>
        <v>1596</v>
      </c>
      <c r="BO34" s="110">
        <f>Warren!U34</f>
        <v>851</v>
      </c>
      <c r="BP34" s="110">
        <f>'West St. Paul'!U34</f>
        <v>7254</v>
      </c>
      <c r="BQ34" s="110">
        <f>Willmar!U34</f>
        <v>9750</v>
      </c>
      <c r="BR34" s="110"/>
      <c r="BS34" s="110">
        <f>Worthington!U34</f>
        <v>4415</v>
      </c>
      <c r="BT34" s="110"/>
      <c r="BU34" s="2">
        <f t="shared" si="15"/>
        <v>2177708</v>
      </c>
    </row>
    <row r="35" spans="1:75" x14ac:dyDescent="0.2">
      <c r="A35">
        <v>2023</v>
      </c>
      <c r="B35" s="26" t="s">
        <v>11</v>
      </c>
      <c r="C35" s="111">
        <f>'Albert Lea'!U35</f>
        <v>5469</v>
      </c>
      <c r="D35" s="111">
        <f>Austin!U35</f>
        <v>3472</v>
      </c>
      <c r="E35" s="111">
        <f>Avon!U35</f>
        <v>1002</v>
      </c>
      <c r="F35" s="111">
        <f>Baxter!U35</f>
        <v>5640</v>
      </c>
      <c r="G35" s="110">
        <f>Bemidji!U35</f>
        <v>12385</v>
      </c>
      <c r="H35" s="110"/>
      <c r="I35" s="110">
        <f>'Blue Earth'!U35</f>
        <v>1104</v>
      </c>
      <c r="J35" s="110">
        <f>Brainerd!U35</f>
        <v>3925</v>
      </c>
      <c r="K35" s="110"/>
      <c r="L35" s="110">
        <f>Cambridge!U35</f>
        <v>2607</v>
      </c>
      <c r="M35" s="110">
        <f>'Clay Cty'!U35</f>
        <v>13898</v>
      </c>
      <c r="N35" s="110">
        <f>Clearwater!U35</f>
        <v>548</v>
      </c>
      <c r="O35" s="110">
        <f>Cloquet!U35</f>
        <v>16909</v>
      </c>
      <c r="P35" s="110">
        <f>'Cook Cty'!U35</f>
        <v>2702</v>
      </c>
      <c r="Q35" s="110">
        <f>'Detroit Lakes'!U34</f>
        <v>261</v>
      </c>
      <c r="R35" s="110">
        <f>Duluth!U35</f>
        <v>133144</v>
      </c>
      <c r="S35" s="110">
        <f>'East Grand Forks'!U35</f>
        <v>0</v>
      </c>
      <c r="T35" s="110">
        <f>Edina!U35</f>
        <v>30685</v>
      </c>
      <c r="U35" s="110">
        <f>'Elk River'!U35</f>
        <v>8814</v>
      </c>
      <c r="V35" s="110">
        <f>Excelsior!U35</f>
        <v>1140</v>
      </c>
      <c r="W35" s="110">
        <f>Fairmont!U35</f>
        <v>3475</v>
      </c>
      <c r="X35" s="110">
        <f>FergusFalls!U35</f>
        <v>5377</v>
      </c>
      <c r="Y35" s="110">
        <f>'GKWMLL Sanitary'!U35</f>
        <v>1450</v>
      </c>
      <c r="Z35" s="110"/>
      <c r="AA35" s="110">
        <f>Glenwood!U35</f>
        <v>1377</v>
      </c>
      <c r="AB35" s="110">
        <f>'Grand Rapids'!U35</f>
        <v>5268</v>
      </c>
      <c r="AC35" s="110">
        <f>Hennepin!U35</f>
        <v>248983</v>
      </c>
      <c r="AD35" s="110">
        <f>Hermantown!U35</f>
        <v>9605</v>
      </c>
      <c r="AE35" s="110">
        <f>Hutchinson!U35</f>
        <v>9921</v>
      </c>
      <c r="AF35" s="110">
        <f>'Int. Falls'!U35</f>
        <v>8024</v>
      </c>
      <c r="AG35" s="110">
        <f>'Itasca Cty'!U35</f>
        <v>21609</v>
      </c>
      <c r="AH35" s="110"/>
      <c r="AI35" s="110"/>
      <c r="AJ35" s="110">
        <f>Lanesboro!U35</f>
        <v>399</v>
      </c>
      <c r="AK35" s="110">
        <f>Litchfield!U35</f>
        <v>2352</v>
      </c>
      <c r="AL35" s="110"/>
      <c r="AM35" s="110">
        <f>Mankato!U35</f>
        <v>24242</v>
      </c>
      <c r="AN35" s="110">
        <f>'Maple Grove'!U35</f>
        <v>41503</v>
      </c>
      <c r="AO35" s="110">
        <f>Marshall!U35</f>
        <v>10338</v>
      </c>
      <c r="AP35" s="110">
        <f>Medford!U35</f>
        <v>93</v>
      </c>
      <c r="AQ35" s="110">
        <f>'Metro Housing'!U35</f>
        <v>695370</v>
      </c>
      <c r="AR35" s="110">
        <f>Minneapolis!U33</f>
        <v>300180</v>
      </c>
      <c r="AS35" s="110">
        <f>Moorhead!U35</f>
        <v>8881</v>
      </c>
      <c r="AT35" s="110">
        <f>'Moose Lake'!U35</f>
        <v>2499</v>
      </c>
      <c r="AU35" s="110">
        <f>'New London'!U35</f>
        <v>676</v>
      </c>
      <c r="AV35" s="110">
        <f>'New Ulm'!U35</f>
        <v>6292</v>
      </c>
      <c r="AW35" s="110">
        <f>'North Mankato'!U35</f>
        <v>3081</v>
      </c>
      <c r="AX35" s="110">
        <f>Oakdale!U35</f>
        <v>7077</v>
      </c>
      <c r="AY35" s="110">
        <f>Owatonna!U35</f>
        <v>0</v>
      </c>
      <c r="AZ35" s="110">
        <f>Perham!U35</f>
        <v>2542</v>
      </c>
      <c r="BA35" s="110">
        <f>Proctor!U35</f>
        <v>7349</v>
      </c>
      <c r="BB35" s="110">
        <f>Rochester!U35</f>
        <v>126992</v>
      </c>
      <c r="BC35" s="110">
        <f>Rogers!U35</f>
        <v>5148</v>
      </c>
      <c r="BD35" s="110">
        <f>'Sauk Centre'!U35</f>
        <v>2799</v>
      </c>
      <c r="BE35" s="110">
        <f>Scanlon!U35</f>
        <v>160</v>
      </c>
      <c r="BF35" s="110">
        <f>Spicer!U35</f>
        <v>627</v>
      </c>
      <c r="BG35" s="110">
        <f>Staples!U35</f>
        <v>708</v>
      </c>
      <c r="BH35" s="110">
        <f>'St. Cloud Area'!U35</f>
        <v>79357</v>
      </c>
      <c r="BI35" s="110">
        <f>'St. Paul'!U35</f>
        <v>141656</v>
      </c>
      <c r="BJ35" s="110">
        <f>'St Peter'!U35</f>
        <v>1874</v>
      </c>
      <c r="BK35" s="110">
        <f>'Two Harbors'!U35</f>
        <v>14038</v>
      </c>
      <c r="BL35" s="110">
        <f>Virginia!U35</f>
        <v>10617</v>
      </c>
      <c r="BM35" s="110">
        <f>'Waite Park'!U35</f>
        <v>7801</v>
      </c>
      <c r="BN35" s="110">
        <f>Walker!U35</f>
        <v>2058</v>
      </c>
      <c r="BO35" s="110">
        <f>Warren!U35</f>
        <v>70</v>
      </c>
      <c r="BP35" s="110">
        <f>'West St. Paul'!U35</f>
        <v>5687</v>
      </c>
      <c r="BQ35" s="110">
        <f>Willmar!U35</f>
        <v>-1164</v>
      </c>
      <c r="BR35" s="110"/>
      <c r="BS35" s="110">
        <f>Worthington!U35</f>
        <v>3278</v>
      </c>
      <c r="BT35" s="110"/>
      <c r="BU35" s="2">
        <f t="shared" si="15"/>
        <v>2073374</v>
      </c>
    </row>
    <row r="36" spans="1:75" x14ac:dyDescent="0.2">
      <c r="B36" s="25"/>
      <c r="C36" s="67"/>
      <c r="D36" s="67"/>
      <c r="E36" s="67"/>
      <c r="F36" s="67"/>
      <c r="G36" s="67"/>
      <c r="H36" s="67"/>
      <c r="I36" s="67"/>
      <c r="J36" s="67"/>
      <c r="K36" s="6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66"/>
      <c r="AS36" s="110"/>
      <c r="AT36" s="110"/>
      <c r="AU36" s="110"/>
      <c r="AV36" s="66"/>
      <c r="AW36" s="66"/>
      <c r="AX36" s="67"/>
      <c r="AY36" s="67"/>
      <c r="AZ36" s="67"/>
      <c r="BA36" s="66"/>
      <c r="BB36" s="66"/>
      <c r="BC36" s="66"/>
      <c r="BD36" s="73"/>
      <c r="BE36" s="73"/>
      <c r="BF36" s="66"/>
      <c r="BG36" s="66"/>
      <c r="BH36" s="66"/>
      <c r="BI36" s="66"/>
      <c r="BJ36" s="66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5" x14ac:dyDescent="0.2">
      <c r="B37" s="26" t="s">
        <v>52</v>
      </c>
      <c r="C37" s="2">
        <f>SUM(C24:C36)</f>
        <v>80097</v>
      </c>
      <c r="D37" s="2">
        <f>SUM(D24:D36)</f>
        <v>51731</v>
      </c>
      <c r="E37" s="2">
        <f>SUM(E24:E36)</f>
        <v>12395</v>
      </c>
      <c r="F37" s="2">
        <f>SUM(F24:F36)</f>
        <v>77042</v>
      </c>
      <c r="G37" s="2">
        <f>SUM(G24:G36)</f>
        <v>137214</v>
      </c>
      <c r="H37" s="2"/>
      <c r="I37" s="2">
        <f>SUM(I24:I36)</f>
        <v>18285</v>
      </c>
      <c r="J37" s="2">
        <f>SUM(J24:J36)</f>
        <v>63927</v>
      </c>
      <c r="K37" s="2"/>
      <c r="L37" s="2">
        <f>SUM(L23:L34)</f>
        <v>35249</v>
      </c>
      <c r="M37" s="2">
        <f>SUM(M24:M35)</f>
        <v>233079</v>
      </c>
      <c r="N37" s="2">
        <f t="shared" ref="N37:T37" si="16">SUM(N24:N36)</f>
        <v>22026</v>
      </c>
      <c r="O37" s="2">
        <f t="shared" si="16"/>
        <v>151157</v>
      </c>
      <c r="P37" s="2">
        <f t="shared" si="16"/>
        <v>68304</v>
      </c>
      <c r="Q37" s="2">
        <f t="shared" si="16"/>
        <v>53965</v>
      </c>
      <c r="R37" s="2">
        <f t="shared" si="16"/>
        <v>1411948</v>
      </c>
      <c r="S37" s="2">
        <f t="shared" si="16"/>
        <v>-2876</v>
      </c>
      <c r="T37" s="2">
        <f t="shared" si="16"/>
        <v>175680</v>
      </c>
      <c r="U37" s="2">
        <f t="shared" ref="U37:V37" si="17">SUM(U24:U36)</f>
        <v>119659</v>
      </c>
      <c r="V37" s="2">
        <f t="shared" si="17"/>
        <v>20040</v>
      </c>
      <c r="W37" s="2">
        <f>SUM(W24:W36)</f>
        <v>45018</v>
      </c>
      <c r="X37" s="2">
        <f>SUM(X24:X36)</f>
        <v>11369</v>
      </c>
      <c r="Y37" s="2">
        <f>SUM(Y24:Y36)</f>
        <v>6733</v>
      </c>
      <c r="Z37" s="2"/>
      <c r="AA37" s="2">
        <f t="shared" ref="AA37:AK37" si="18">SUM(AA24:AA36)</f>
        <v>12846</v>
      </c>
      <c r="AB37" s="2">
        <f t="shared" ref="AB37" si="19">SUM(AB24:AB36)</f>
        <v>49906</v>
      </c>
      <c r="AC37" s="2">
        <f t="shared" si="18"/>
        <v>2979761</v>
      </c>
      <c r="AD37" s="2">
        <f t="shared" si="18"/>
        <v>132825</v>
      </c>
      <c r="AE37" s="2">
        <f t="shared" si="18"/>
        <v>72493</v>
      </c>
      <c r="AF37" s="2">
        <f t="shared" si="18"/>
        <v>117996</v>
      </c>
      <c r="AG37" s="2">
        <f t="shared" ref="AG37" si="20">SUM(AG24:AG36)</f>
        <v>209523</v>
      </c>
      <c r="AH37" s="2"/>
      <c r="AI37" s="2"/>
      <c r="AJ37" s="2">
        <f t="shared" si="18"/>
        <v>4065</v>
      </c>
      <c r="AK37" s="2">
        <f t="shared" si="18"/>
        <v>9543</v>
      </c>
      <c r="AL37" s="2"/>
      <c r="AM37" s="2">
        <f t="shared" ref="AM37:BQ37" si="21">SUM(AM24:AM36)</f>
        <v>288864</v>
      </c>
      <c r="AN37" s="2">
        <f t="shared" ref="AN37" si="22">SUM(AN24:AN36)</f>
        <v>356653</v>
      </c>
      <c r="AO37" s="2">
        <f t="shared" si="21"/>
        <v>39179</v>
      </c>
      <c r="AP37" s="2">
        <f t="shared" si="21"/>
        <v>2461</v>
      </c>
      <c r="AQ37" s="2">
        <f t="shared" si="21"/>
        <v>1484694</v>
      </c>
      <c r="AR37" s="2">
        <f t="shared" si="21"/>
        <v>3915845</v>
      </c>
      <c r="AS37" s="2">
        <f t="shared" ref="AS37" si="23">SUM(AS24:AS36)</f>
        <v>70631</v>
      </c>
      <c r="AT37" s="2">
        <f t="shared" si="21"/>
        <v>30856</v>
      </c>
      <c r="AU37" s="2">
        <f t="shared" si="21"/>
        <v>6640</v>
      </c>
      <c r="AV37" s="2">
        <f t="shared" si="21"/>
        <v>90470</v>
      </c>
      <c r="AW37" s="2">
        <f t="shared" si="21"/>
        <v>34791</v>
      </c>
      <c r="AX37" s="2">
        <f t="shared" ref="AX37" si="24">SUM(AX24:AX36)</f>
        <v>89431</v>
      </c>
      <c r="AY37" s="2">
        <f t="shared" si="21"/>
        <v>0</v>
      </c>
      <c r="AZ37" s="2">
        <f t="shared" si="21"/>
        <v>49806</v>
      </c>
      <c r="BA37" s="2">
        <f t="shared" si="21"/>
        <v>97933</v>
      </c>
      <c r="BB37" s="2">
        <f t="shared" si="21"/>
        <v>1909337</v>
      </c>
      <c r="BC37" s="2">
        <f t="shared" ref="BC37" si="25">SUM(BC24:BC36)</f>
        <v>83702</v>
      </c>
      <c r="BD37" s="2">
        <f t="shared" si="21"/>
        <v>28480</v>
      </c>
      <c r="BE37" s="2">
        <f t="shared" si="21"/>
        <v>1953</v>
      </c>
      <c r="BF37" s="2">
        <f t="shared" si="21"/>
        <v>4694</v>
      </c>
      <c r="BG37" s="2">
        <f t="shared" ref="BG37" si="26">SUM(BG24:BG36)</f>
        <v>10203</v>
      </c>
      <c r="BH37" s="2">
        <f t="shared" si="21"/>
        <v>771200</v>
      </c>
      <c r="BI37" s="2">
        <f t="shared" si="21"/>
        <v>1987510</v>
      </c>
      <c r="BJ37" s="2">
        <f t="shared" si="21"/>
        <v>26131</v>
      </c>
      <c r="BK37" s="2">
        <f t="shared" si="21"/>
        <v>112220</v>
      </c>
      <c r="BL37" s="2">
        <f t="shared" si="21"/>
        <v>130062</v>
      </c>
      <c r="BM37" s="2">
        <f t="shared" ref="BM37" si="27">SUM(BM24:BM36)</f>
        <v>88602</v>
      </c>
      <c r="BN37" s="2">
        <f t="shared" si="21"/>
        <v>17439</v>
      </c>
      <c r="BO37" s="2">
        <f t="shared" ref="BO37" si="28">SUM(BO24:BO36)</f>
        <v>1447</v>
      </c>
      <c r="BP37" s="2">
        <f t="shared" ref="BP37" si="29">SUM(BP24:BP36)</f>
        <v>67988</v>
      </c>
      <c r="BQ37" s="2">
        <f t="shared" si="21"/>
        <v>127046</v>
      </c>
      <c r="BR37" s="2"/>
      <c r="BS37" s="2">
        <f>SUM(BS24:BS36)</f>
        <v>54068</v>
      </c>
      <c r="BT37" s="2">
        <f>SUM(BT24:BT36)</f>
        <v>0</v>
      </c>
      <c r="BU37" s="2">
        <f>SUM(C37:BT37)</f>
        <v>18361336</v>
      </c>
      <c r="BW37" s="2"/>
    </row>
    <row r="38" spans="1:75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BU38" s="77">
        <f>BU18+BU37</f>
        <v>310223350</v>
      </c>
      <c r="BW38" s="2"/>
    </row>
    <row r="39" spans="1:75" x14ac:dyDescent="0.2">
      <c r="A39" s="74" t="s">
        <v>39</v>
      </c>
      <c r="C39" s="79"/>
      <c r="D39" s="79"/>
      <c r="E39" s="79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2">
        <f>GiantsRidge!U36</f>
        <v>90063</v>
      </c>
      <c r="AA39" s="91"/>
      <c r="AB39" s="91"/>
      <c r="AC39" s="91"/>
      <c r="AD39" s="91"/>
      <c r="AE39" s="91"/>
      <c r="AF39" s="91"/>
      <c r="AG39" s="91"/>
      <c r="AH39" s="92">
        <f>'Lake Co'!U72</f>
        <v>1679064</v>
      </c>
      <c r="AI39" s="92">
        <f>'LotW Lodg'!U17</f>
        <v>538506</v>
      </c>
      <c r="AJ39" s="91"/>
      <c r="AK39" s="91"/>
      <c r="AL39" s="91"/>
      <c r="AM39" s="92">
        <f>Mankato!U108</f>
        <v>748260</v>
      </c>
      <c r="AN39" s="91"/>
      <c r="AO39" s="91"/>
      <c r="AP39" s="91"/>
      <c r="AQ39" s="91"/>
      <c r="AR39" s="92">
        <f>Minneapolis!U86</f>
        <v>10616277</v>
      </c>
      <c r="AS39" s="91"/>
      <c r="AT39" s="91"/>
      <c r="AU39" s="91"/>
      <c r="AV39" s="91"/>
      <c r="AW39" s="91"/>
      <c r="AX39" s="91"/>
      <c r="AY39" s="91"/>
      <c r="AZ39" s="91"/>
      <c r="BA39" s="91"/>
      <c r="BB39" s="92">
        <f>Rochester!U74</f>
        <v>10299186</v>
      </c>
      <c r="BC39" s="91"/>
      <c r="BD39" s="91"/>
      <c r="BE39" s="91"/>
      <c r="BF39" s="91"/>
      <c r="BG39" s="91"/>
      <c r="BH39" s="91"/>
      <c r="BI39" s="92">
        <f>'St. Paul'!U91+'St. Paul'!U72</f>
        <v>5165549</v>
      </c>
      <c r="BJ39" s="91"/>
      <c r="BK39" s="92">
        <f>'Two Harbors'!U72</f>
        <v>90847</v>
      </c>
      <c r="BL39" s="91"/>
      <c r="BM39" s="91"/>
      <c r="BN39" s="91"/>
      <c r="BO39" s="91"/>
      <c r="BP39" s="91"/>
      <c r="BQ39" s="91"/>
      <c r="BR39" s="91"/>
      <c r="BS39" s="91"/>
      <c r="BT39" s="92">
        <f>'Woodbury Lodg'!U17</f>
        <v>405028</v>
      </c>
      <c r="BU39" s="181">
        <f>SUM(C39:BT39)</f>
        <v>29632780</v>
      </c>
    </row>
    <row r="40" spans="1:75" x14ac:dyDescent="0.2">
      <c r="A40" s="75" t="s">
        <v>100</v>
      </c>
      <c r="C40" s="80"/>
      <c r="D40" s="80"/>
      <c r="E40" s="80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92">
        <f>Minneapolis!U69</f>
        <v>5469163</v>
      </c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92">
        <f>'St. Cloud Liq&amp;Food'!U17</f>
        <v>187050</v>
      </c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40"/>
      <c r="BU40" s="181">
        <f t="shared" ref="BU40:BU43" si="30">SUM(C40:BT40)</f>
        <v>5656213</v>
      </c>
    </row>
    <row r="41" spans="1:75" x14ac:dyDescent="0.2">
      <c r="A41" s="75" t="s">
        <v>105</v>
      </c>
      <c r="C41" s="80"/>
      <c r="D41" s="80"/>
      <c r="E41" s="8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92">
        <f>'Detroit Lakes'!U70</f>
        <v>521164</v>
      </c>
      <c r="R41" s="101"/>
      <c r="S41" s="101"/>
      <c r="T41" s="101"/>
      <c r="U41" s="101"/>
      <c r="V41" s="101"/>
      <c r="W41" s="101"/>
      <c r="X41" s="101"/>
      <c r="Y41" s="101"/>
      <c r="Z41" s="92">
        <f>GiantsRidge!U17</f>
        <v>24605</v>
      </c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92">
        <f>Mankato!U90</f>
        <v>892395</v>
      </c>
      <c r="AN41" s="101"/>
      <c r="AO41" s="92">
        <f>Marshall!U72</f>
        <v>666198</v>
      </c>
      <c r="AP41" s="101"/>
      <c r="AQ41" s="101"/>
      <c r="AR41" s="92">
        <f>Minneapolis!U103</f>
        <v>12776020</v>
      </c>
      <c r="AS41" s="101"/>
      <c r="AT41" s="101"/>
      <c r="AU41" s="101"/>
      <c r="AV41" s="101"/>
      <c r="AW41" s="92">
        <f>'North Mankato'!U71</f>
        <v>94131</v>
      </c>
      <c r="AX41" s="101"/>
      <c r="AY41" s="101"/>
      <c r="AZ41" s="101"/>
      <c r="BA41" s="92">
        <f>Proctor!U71</f>
        <v>80350</v>
      </c>
      <c r="BB41" s="101"/>
      <c r="BC41" s="101"/>
      <c r="BD41" s="101"/>
      <c r="BE41" s="101"/>
      <c r="BF41" s="101"/>
      <c r="BG41" s="101"/>
      <c r="BH41" s="92">
        <f>'St. Cloud Liq&amp;Food'!U36</f>
        <v>1557261</v>
      </c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40"/>
      <c r="BU41" s="181">
        <f t="shared" si="30"/>
        <v>16612124</v>
      </c>
    </row>
    <row r="42" spans="1:75" x14ac:dyDescent="0.2">
      <c r="A42" s="75" t="s">
        <v>106</v>
      </c>
      <c r="C42" s="80"/>
      <c r="D42" s="80"/>
      <c r="E42" s="80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92">
        <f>GiantsRidge!U55</f>
        <v>99199</v>
      </c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92">
        <f>Mankato!U72</f>
        <v>44373</v>
      </c>
      <c r="AN42" s="141"/>
      <c r="AO42" s="101"/>
      <c r="AP42" s="101"/>
      <c r="AQ42" s="101"/>
      <c r="AR42" s="92">
        <f>Minneapolis!U120</f>
        <v>25389564</v>
      </c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40"/>
      <c r="BU42" s="181">
        <f t="shared" si="30"/>
        <v>25533136</v>
      </c>
    </row>
    <row r="43" spans="1:75" x14ac:dyDescent="0.2">
      <c r="A43" s="76" t="s">
        <v>108</v>
      </c>
      <c r="C43" s="81"/>
      <c r="D43" s="81"/>
      <c r="E43" s="81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92">
        <f>Rogers!U72</f>
        <v>72380</v>
      </c>
      <c r="BD43" s="92">
        <f>'Sauk Centre'!U72</f>
        <v>24380</v>
      </c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92">
        <f>Willmar!U72</f>
        <v>55280</v>
      </c>
      <c r="BR43" s="100"/>
      <c r="BS43" s="100"/>
      <c r="BT43" s="142"/>
      <c r="BU43" s="181">
        <f t="shared" si="30"/>
        <v>152040</v>
      </c>
    </row>
    <row r="44" spans="1:75" x14ac:dyDescent="0.2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K44" s="42"/>
      <c r="BL44" s="42"/>
      <c r="BM44" s="42"/>
      <c r="BN44" s="42"/>
      <c r="BO44" s="42"/>
      <c r="BP44" s="42"/>
      <c r="BQ44" s="42"/>
      <c r="BR44" s="42"/>
      <c r="BS44" s="115"/>
      <c r="BT44" s="115"/>
      <c r="BU44" s="77">
        <f>SUM(C39:BT43)</f>
        <v>77586293</v>
      </c>
    </row>
    <row r="45" spans="1:75" x14ac:dyDescent="0.2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78">
        <f>BU38+BU44</f>
        <v>387809643</v>
      </c>
    </row>
    <row r="46" spans="1:75" x14ac:dyDescent="0.2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</row>
    <row r="47" spans="1:75" x14ac:dyDescent="0.2">
      <c r="AD47" s="42"/>
    </row>
    <row r="48" spans="1:75" x14ac:dyDescent="0.2">
      <c r="AD48" s="42"/>
      <c r="BC48" s="128" t="s">
        <v>351</v>
      </c>
      <c r="BD48" s="129"/>
      <c r="BE48" s="129"/>
      <c r="BF48" s="129"/>
      <c r="BG48" s="129"/>
      <c r="BH48" s="130"/>
    </row>
    <row r="49" spans="30:60" x14ac:dyDescent="0.2">
      <c r="AD49" s="42"/>
      <c r="BC49" s="131" t="s">
        <v>171</v>
      </c>
      <c r="BD49" s="132"/>
      <c r="BE49" s="132"/>
      <c r="BF49" s="132"/>
      <c r="BG49" s="132"/>
      <c r="BH49" s="133">
        <f>BU38</f>
        <v>310223350</v>
      </c>
    </row>
    <row r="50" spans="30:60" x14ac:dyDescent="0.2">
      <c r="BC50" s="131" t="s">
        <v>172</v>
      </c>
      <c r="BD50" s="132"/>
      <c r="BE50" s="132"/>
      <c r="BF50" s="132"/>
      <c r="BG50" s="132"/>
      <c r="BH50" s="133">
        <f>BU44</f>
        <v>77586293</v>
      </c>
    </row>
    <row r="51" spans="30:60" x14ac:dyDescent="0.2">
      <c r="BC51" s="134" t="s">
        <v>52</v>
      </c>
      <c r="BD51" s="135"/>
      <c r="BE51" s="135"/>
      <c r="BF51" s="135"/>
      <c r="BG51" s="135"/>
      <c r="BH51" s="136">
        <f>SUM(BH49:BH50)</f>
        <v>387809643</v>
      </c>
    </row>
    <row r="52" spans="30:60" x14ac:dyDescent="0.2">
      <c r="BA52" s="170"/>
    </row>
  </sheetData>
  <pageMargins left="0" right="0" top="0.61" bottom="0.79" header="0.21" footer="0.31"/>
  <pageSetup scale="91" fitToWidth="0" orientation="landscape" r:id="rId1"/>
  <headerFooter alignWithMargins="0">
    <oddHeader>&amp;A</oddHeader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A1:BH52"/>
  <sheetViews>
    <sheetView tabSelected="1" zoomScaleNormal="100" workbookViewId="0">
      <selection activeCell="BH52" sqref="BH52"/>
    </sheetView>
  </sheetViews>
  <sheetFormatPr defaultRowHeight="12.75" x14ac:dyDescent="0.2"/>
  <cols>
    <col min="1" max="1" width="5" bestFit="1" customWidth="1"/>
    <col min="2" max="2" width="16.140625" bestFit="1" customWidth="1"/>
    <col min="3" max="3" width="11.140625" bestFit="1" customWidth="1"/>
    <col min="4" max="4" width="11" customWidth="1"/>
    <col min="5" max="6" width="9.140625" bestFit="1" customWidth="1"/>
    <col min="7" max="7" width="9.28515625" bestFit="1" customWidth="1"/>
    <col min="8" max="12" width="9.140625" bestFit="1" customWidth="1"/>
    <col min="13" max="14" width="10.140625" bestFit="1" customWidth="1"/>
    <col min="15" max="15" width="10.140625" customWidth="1"/>
    <col min="16" max="16" width="9.140625" bestFit="1" customWidth="1"/>
    <col min="17" max="17" width="10.140625" bestFit="1" customWidth="1"/>
    <col min="18" max="18" width="10.28515625" bestFit="1" customWidth="1"/>
    <col min="19" max="19" width="9.85546875" bestFit="1" customWidth="1"/>
    <col min="20" max="25" width="9.140625" bestFit="1" customWidth="1"/>
    <col min="26" max="26" width="10.28515625" bestFit="1" customWidth="1"/>
    <col min="27" max="27" width="9.28515625" bestFit="1" customWidth="1"/>
    <col min="28" max="28" width="9.28515625" customWidth="1"/>
    <col min="29" max="29" width="9.140625" bestFit="1" customWidth="1"/>
    <col min="30" max="30" width="9.140625" customWidth="1"/>
    <col min="31" max="31" width="10.140625" bestFit="1" customWidth="1"/>
    <col min="32" max="32" width="10.28515625" customWidth="1"/>
    <col min="33" max="33" width="10.28515625" bestFit="1" customWidth="1"/>
    <col min="34" max="34" width="10.140625" bestFit="1" customWidth="1"/>
    <col min="35" max="35" width="11.140625" bestFit="1" customWidth="1"/>
    <col min="36" max="36" width="10.28515625" bestFit="1" customWidth="1"/>
    <col min="37" max="37" width="10.140625" bestFit="1" customWidth="1"/>
    <col min="38" max="38" width="7.7109375" bestFit="1" customWidth="1"/>
    <col min="39" max="55" width="9.140625" bestFit="1" customWidth="1"/>
    <col min="56" max="56" width="9.42578125" bestFit="1" customWidth="1"/>
    <col min="57" max="57" width="7.7109375" bestFit="1" customWidth="1"/>
    <col min="58" max="58" width="7.7109375" customWidth="1"/>
    <col min="59" max="59" width="11.140625" bestFit="1" customWidth="1"/>
    <col min="60" max="63" width="11.7109375" bestFit="1" customWidth="1"/>
    <col min="64" max="64" width="12.42578125" bestFit="1" customWidth="1"/>
  </cols>
  <sheetData>
    <row r="1" spans="1:60" x14ac:dyDescent="0.2">
      <c r="B1" s="118" t="s">
        <v>155</v>
      </c>
      <c r="D1" s="94" t="s">
        <v>473</v>
      </c>
    </row>
    <row r="2" spans="1:60" x14ac:dyDescent="0.2">
      <c r="M2" s="112"/>
      <c r="BG2" s="119" t="s">
        <v>526</v>
      </c>
      <c r="BH2" s="10" t="s">
        <v>53</v>
      </c>
    </row>
    <row r="3" spans="1:60" x14ac:dyDescent="0.2">
      <c r="A3" t="s">
        <v>102</v>
      </c>
      <c r="B3" s="33" t="s">
        <v>156</v>
      </c>
      <c r="C3" s="119" t="s">
        <v>239</v>
      </c>
      <c r="D3" s="119" t="s">
        <v>238</v>
      </c>
      <c r="E3" s="89" t="s">
        <v>237</v>
      </c>
      <c r="F3" s="119" t="s">
        <v>236</v>
      </c>
      <c r="G3" s="119" t="s">
        <v>235</v>
      </c>
      <c r="H3" s="119" t="s">
        <v>234</v>
      </c>
      <c r="I3" s="119" t="s">
        <v>233</v>
      </c>
      <c r="J3" s="119" t="s">
        <v>232</v>
      </c>
      <c r="K3" s="119" t="s">
        <v>231</v>
      </c>
      <c r="L3" s="119" t="s">
        <v>230</v>
      </c>
      <c r="M3" s="119" t="s">
        <v>229</v>
      </c>
      <c r="N3" s="119" t="s">
        <v>228</v>
      </c>
      <c r="O3" s="119" t="s">
        <v>227</v>
      </c>
      <c r="P3" s="119" t="s">
        <v>226</v>
      </c>
      <c r="Q3" s="119" t="s">
        <v>225</v>
      </c>
      <c r="R3" s="119" t="s">
        <v>224</v>
      </c>
      <c r="S3" s="119" t="s">
        <v>223</v>
      </c>
      <c r="T3" s="119" t="s">
        <v>241</v>
      </c>
      <c r="U3" s="119" t="s">
        <v>240</v>
      </c>
      <c r="V3" s="119" t="s">
        <v>243</v>
      </c>
      <c r="W3" s="119" t="s">
        <v>244</v>
      </c>
      <c r="X3" s="119" t="s">
        <v>242</v>
      </c>
      <c r="Y3" s="119" t="s">
        <v>222</v>
      </c>
      <c r="Z3" s="119" t="s">
        <v>123</v>
      </c>
      <c r="AA3" s="119" t="s">
        <v>109</v>
      </c>
      <c r="AB3" s="119" t="s">
        <v>282</v>
      </c>
      <c r="AC3" s="119" t="s">
        <v>281</v>
      </c>
      <c r="AD3" s="119" t="s">
        <v>283</v>
      </c>
      <c r="AE3" s="119" t="s">
        <v>303</v>
      </c>
      <c r="AF3" s="119" t="s">
        <v>293</v>
      </c>
      <c r="AG3" s="119" t="s">
        <v>304</v>
      </c>
      <c r="AH3" s="119" t="s">
        <v>287</v>
      </c>
      <c r="AI3" s="119" t="s">
        <v>79</v>
      </c>
      <c r="AJ3" s="119" t="s">
        <v>305</v>
      </c>
      <c r="AK3" s="119" t="s">
        <v>307</v>
      </c>
      <c r="AL3" s="119" t="s">
        <v>327</v>
      </c>
      <c r="AM3" s="119" t="s">
        <v>328</v>
      </c>
      <c r="AN3" s="119" t="s">
        <v>329</v>
      </c>
      <c r="AO3" s="119" t="s">
        <v>330</v>
      </c>
      <c r="AP3" s="119" t="s">
        <v>331</v>
      </c>
      <c r="AQ3" s="119" t="s">
        <v>349</v>
      </c>
      <c r="AR3" s="119" t="s">
        <v>360</v>
      </c>
      <c r="AS3" s="119" t="s">
        <v>358</v>
      </c>
      <c r="AT3" s="119" t="s">
        <v>359</v>
      </c>
      <c r="AU3" s="119" t="s">
        <v>365</v>
      </c>
      <c r="AV3" s="119" t="s">
        <v>363</v>
      </c>
      <c r="AW3" s="119" t="s">
        <v>369</v>
      </c>
      <c r="AX3" s="119" t="s">
        <v>397</v>
      </c>
      <c r="AY3" s="119" t="s">
        <v>421</v>
      </c>
      <c r="AZ3" s="119" t="s">
        <v>422</v>
      </c>
      <c r="BA3" s="119" t="s">
        <v>450</v>
      </c>
      <c r="BB3" s="119" t="s">
        <v>456</v>
      </c>
      <c r="BC3" s="119" t="s">
        <v>462</v>
      </c>
      <c r="BD3" s="119" t="s">
        <v>465</v>
      </c>
      <c r="BE3" s="119" t="s">
        <v>472</v>
      </c>
      <c r="BF3" s="119" t="s">
        <v>476</v>
      </c>
      <c r="BG3" s="119" t="s">
        <v>527</v>
      </c>
      <c r="BH3" s="120" t="s">
        <v>54</v>
      </c>
    </row>
    <row r="4" spans="1:60" x14ac:dyDescent="0.2"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16"/>
    </row>
    <row r="5" spans="1:60" x14ac:dyDescent="0.2">
      <c r="A5">
        <v>2023</v>
      </c>
      <c r="B5" s="26" t="s">
        <v>51</v>
      </c>
      <c r="C5" s="110">
        <f>'Metro Transit'!U5</f>
        <v>-9987</v>
      </c>
      <c r="D5" s="110">
        <f>'Olmsted Co'!U5</f>
        <v>1518483</v>
      </c>
      <c r="E5" s="110">
        <f>'Rice Co'!U5</f>
        <v>416607</v>
      </c>
      <c r="F5" s="110">
        <f>'Wadena Co'!U5</f>
        <v>85840</v>
      </c>
      <c r="G5" s="110">
        <f>'Beltrami Co'!U5</f>
        <v>385398</v>
      </c>
      <c r="H5" s="110">
        <f>'Becker Co'!U5</f>
        <v>261663</v>
      </c>
      <c r="I5" s="110">
        <f>'Douglas Co'!U5</f>
        <v>425965</v>
      </c>
      <c r="J5" s="110">
        <f>'Todd Co'!U5</f>
        <v>111013</v>
      </c>
      <c r="K5" s="110">
        <f>'Fillmore Co'!U5</f>
        <v>152454</v>
      </c>
      <c r="L5" s="110">
        <f>'Carlton Co'!U5</f>
        <v>217149</v>
      </c>
      <c r="M5" s="110">
        <f>'St. Louis Co'!U5</f>
        <v>1673642</v>
      </c>
      <c r="N5" s="110">
        <f>'Steele Co'!U5</f>
        <v>337088</v>
      </c>
      <c r="O5" s="110">
        <f>'Hubbard Co'!U5</f>
        <v>140648</v>
      </c>
      <c r="P5" s="110">
        <f>'Lyon Co'!U5</f>
        <v>23</v>
      </c>
      <c r="Q5" s="110">
        <f>'Scott Co'!U5</f>
        <v>1254787</v>
      </c>
      <c r="R5" s="110">
        <f>'Freeborn Co'!U5</f>
        <v>223835</v>
      </c>
      <c r="S5" s="110">
        <f>'Otter Tail Co'!U5</f>
        <v>413625</v>
      </c>
      <c r="T5" s="110">
        <f>'Cass Co'!U5</f>
        <v>199365</v>
      </c>
      <c r="U5" s="110">
        <f>'Brown Co'!U5</f>
        <v>212055</v>
      </c>
      <c r="V5" s="110">
        <f>'Crow Wing Co'!U5</f>
        <v>727920</v>
      </c>
      <c r="W5" s="110">
        <f>'Wabasha Co'!U5</f>
        <v>162330</v>
      </c>
      <c r="X5" s="110">
        <f>'Chisago Co'!U5</f>
        <v>308515</v>
      </c>
      <c r="Y5" s="110">
        <f>'Blue Earth Co'!U5</f>
        <v>720780</v>
      </c>
      <c r="Z5" s="110">
        <f>'Cook Co'!U5</f>
        <v>85257</v>
      </c>
      <c r="AA5" s="110">
        <f>'Winona Co'!U5</f>
        <v>365025</v>
      </c>
      <c r="AB5" s="110">
        <f>'Pine Co'!U5</f>
        <v>152704</v>
      </c>
      <c r="AC5" s="110">
        <f>'Mille Lacs Co'!U5</f>
        <v>156611</v>
      </c>
      <c r="AD5" s="110">
        <f>'Lake Co'!U5</f>
        <v>88728</v>
      </c>
      <c r="AE5" s="110">
        <f>'Dakota Co'!U5</f>
        <v>1920718</v>
      </c>
      <c r="AF5" s="110">
        <f>'Ramsey Co'!U5</f>
        <v>4420898</v>
      </c>
      <c r="AG5" s="110">
        <f>'Washington Co'!U5</f>
        <v>2372184</v>
      </c>
      <c r="AH5" s="110">
        <f>'Anoka Co'!U5</f>
        <v>1323984</v>
      </c>
      <c r="AI5" s="110">
        <f>'Hennepin Co'!U5</f>
        <v>14463639</v>
      </c>
      <c r="AJ5" s="110">
        <f>'Carver Co'!U5</f>
        <v>914988</v>
      </c>
      <c r="AK5" s="110">
        <f>'Wright Co'!U5</f>
        <v>1037105</v>
      </c>
      <c r="AL5" s="110">
        <f>'Polk Co'!U5</f>
        <v>82057</v>
      </c>
      <c r="AM5" s="110">
        <f>'Mower Co'!U5</f>
        <v>215499</v>
      </c>
      <c r="AN5" s="110">
        <f>'Nicollet Co'!U5</f>
        <v>187463</v>
      </c>
      <c r="AO5" s="110">
        <f>'Stearns Co'!U5</f>
        <v>710057</v>
      </c>
      <c r="AP5" s="110">
        <f>'Morrison Co'!U5</f>
        <v>206697</v>
      </c>
      <c r="AQ5" s="110">
        <f>'Kandiyohi Co'!U5</f>
        <v>361551</v>
      </c>
      <c r="AR5" s="110">
        <f>'Dodge Co'!U5</f>
        <v>101843</v>
      </c>
      <c r="AS5" s="110">
        <f>'Goodhue Co'!U5</f>
        <v>363583</v>
      </c>
      <c r="AT5" s="110">
        <f>'Sherburne Co'!U5</f>
        <v>643992</v>
      </c>
      <c r="AU5" s="110">
        <f>'Waseca Co'!U5</f>
        <v>88595</v>
      </c>
      <c r="AV5" s="110">
        <f>'Redwood Co'!U5</f>
        <v>99972</v>
      </c>
      <c r="AW5" s="110">
        <f>'Isanti Co'!U5</f>
        <v>284745</v>
      </c>
      <c r="AX5" s="110">
        <f>'Benton Co'!U5</f>
        <v>327330</v>
      </c>
      <c r="AY5" s="110">
        <f>'McLeod Co'!U5</f>
        <v>279026</v>
      </c>
      <c r="AZ5" s="110">
        <f>'Kanabec Co'!U5</f>
        <v>81345</v>
      </c>
      <c r="BA5" s="110">
        <f>'Nobles Co'!U5</f>
        <v>141133</v>
      </c>
      <c r="BB5" s="110">
        <f>'Le Sueur Co'!U5</f>
        <v>134084</v>
      </c>
      <c r="BC5" s="110">
        <f>'Roseau Co'!U5</f>
        <v>111735</v>
      </c>
      <c r="BD5" s="110">
        <f>'Koochiching Co'!U5</f>
        <v>72247</v>
      </c>
      <c r="BE5" s="110">
        <f>'Norman Co'!U5</f>
        <v>29495</v>
      </c>
      <c r="BF5" s="110">
        <f>'Renville Co'!U5</f>
        <v>10</v>
      </c>
      <c r="BG5" s="110">
        <f>'Metro Transpo'!U5</f>
        <v>0</v>
      </c>
      <c r="BH5" s="42">
        <f>SUM(C5:BG5)</f>
        <v>41763498</v>
      </c>
    </row>
    <row r="6" spans="1:60" x14ac:dyDescent="0.2">
      <c r="A6">
        <v>2023</v>
      </c>
      <c r="B6" s="26" t="s">
        <v>1</v>
      </c>
      <c r="C6" s="110">
        <f>'Metro Transit'!U6</f>
        <v>42484</v>
      </c>
      <c r="D6" s="110">
        <f>'Olmsted Co'!U6</f>
        <v>1197700</v>
      </c>
      <c r="E6" s="110">
        <f>'Rice Co'!U6</f>
        <v>332927</v>
      </c>
      <c r="F6" s="110">
        <f>'Wadena Co'!U6</f>
        <v>55766</v>
      </c>
      <c r="G6" s="110">
        <f>'Beltrami Co'!U6</f>
        <v>312800</v>
      </c>
      <c r="H6" s="110">
        <f>'Becker Co'!U6</f>
        <v>239287</v>
      </c>
      <c r="I6" s="110">
        <f>'Douglas Co'!U6</f>
        <v>333705</v>
      </c>
      <c r="J6" s="110">
        <f>'Todd Co'!U6</f>
        <v>87794</v>
      </c>
      <c r="K6" s="110">
        <f>'Fillmore Co'!U6</f>
        <v>89821</v>
      </c>
      <c r="L6" s="110">
        <f>'Carlton Co'!U6</f>
        <v>167978</v>
      </c>
      <c r="M6" s="110">
        <f>'St. Louis Co'!U6</f>
        <v>1350648</v>
      </c>
      <c r="N6" s="110">
        <f>'Steele Co'!U6</f>
        <v>263675</v>
      </c>
      <c r="O6" s="110">
        <f>'Hubbard Co'!U6</f>
        <v>114948</v>
      </c>
      <c r="P6" s="110">
        <f>'Lyon Co'!U6</f>
        <v>12</v>
      </c>
      <c r="Q6" s="110">
        <f>'Scott Co'!U6</f>
        <v>1007202</v>
      </c>
      <c r="R6" s="110">
        <f>'Freeborn Co'!U6</f>
        <v>180964</v>
      </c>
      <c r="S6" s="110">
        <f>'Otter Tail Co'!U6</f>
        <v>335384</v>
      </c>
      <c r="T6" s="110">
        <f>'Cass Co'!U6</f>
        <v>163784</v>
      </c>
      <c r="U6" s="110">
        <f>'Brown Co'!U6</f>
        <v>174798</v>
      </c>
      <c r="V6" s="110">
        <f>'Crow Wing Co'!U6</f>
        <v>593053</v>
      </c>
      <c r="W6" s="110">
        <f>'Wabasha Co'!U6</f>
        <v>83433</v>
      </c>
      <c r="X6" s="110">
        <f>'Chisago Co'!U6</f>
        <v>249868</v>
      </c>
      <c r="Y6" s="110">
        <f>'Blue Earth Co'!U6</f>
        <v>601879</v>
      </c>
      <c r="Z6" s="110">
        <f>'Cook Co'!U6</f>
        <v>85223</v>
      </c>
      <c r="AA6" s="110">
        <f>'Winona Co'!U6</f>
        <v>273398</v>
      </c>
      <c r="AB6" s="110">
        <f>'Pine Co'!U6</f>
        <v>120242</v>
      </c>
      <c r="AC6" s="110">
        <f>'Mille Lacs Co'!U6</f>
        <v>133737</v>
      </c>
      <c r="AD6" s="110">
        <f>'Lake Co'!U6</f>
        <v>67899</v>
      </c>
      <c r="AE6" s="110">
        <f>'Dakota Co'!U6</f>
        <v>1617556</v>
      </c>
      <c r="AF6" s="110">
        <f>'Ramsey Co'!U6</f>
        <v>3554880</v>
      </c>
      <c r="AG6" s="110">
        <f>'Washington Co'!U6</f>
        <v>1837654</v>
      </c>
      <c r="AH6" s="110">
        <f>'Anoka Co'!U6</f>
        <v>1060175</v>
      </c>
      <c r="AI6" s="110">
        <f>'Hennepin Co'!U6</f>
        <v>11051722</v>
      </c>
      <c r="AJ6" s="110">
        <f>'Carver Co'!U6</f>
        <v>680350</v>
      </c>
      <c r="AK6" s="110">
        <f>'Wright Co'!U6</f>
        <v>815641</v>
      </c>
      <c r="AL6" s="110">
        <f>'Polk Co'!U6</f>
        <v>71354</v>
      </c>
      <c r="AM6" s="110">
        <f>'Mower Co'!U6</f>
        <v>183523</v>
      </c>
      <c r="AN6" s="110">
        <f>'Nicollet Co'!U6</f>
        <v>140756</v>
      </c>
      <c r="AO6" s="110">
        <f>'Stearns Co'!U6</f>
        <v>551748</v>
      </c>
      <c r="AP6" s="110">
        <f>'Morrison Co'!U6</f>
        <v>166651</v>
      </c>
      <c r="AQ6" s="110">
        <f>'Kandiyohi Co'!U6</f>
        <v>298243</v>
      </c>
      <c r="AR6" s="110">
        <f>'Dodge Co'!U6</f>
        <v>77198</v>
      </c>
      <c r="AS6" s="110">
        <f>'Goodhue Co'!U6</f>
        <v>274040</v>
      </c>
      <c r="AT6" s="110">
        <f>'Sherburne Co'!U6</f>
        <v>540961</v>
      </c>
      <c r="AU6" s="110">
        <f>'Waseca Co'!U6</f>
        <v>73759</v>
      </c>
      <c r="AV6" s="110">
        <f>'Redwood Co'!U6</f>
        <v>82093</v>
      </c>
      <c r="AW6" s="110">
        <f>'Isanti Co'!U6</f>
        <v>215803</v>
      </c>
      <c r="AX6" s="110">
        <f>'Benton Co'!U6</f>
        <v>258061</v>
      </c>
      <c r="AY6" s="110">
        <f>'McLeod Co'!U6</f>
        <v>206154</v>
      </c>
      <c r="AZ6" s="110">
        <f>'Kanabec Co'!U6</f>
        <v>65534</v>
      </c>
      <c r="BA6" s="110">
        <f>'Nobles Co'!U6</f>
        <v>107136</v>
      </c>
      <c r="BB6" s="110">
        <f>'Le Sueur Co'!U6</f>
        <v>110777</v>
      </c>
      <c r="BC6" s="110">
        <f>'Roseau Co'!U6</f>
        <v>85005</v>
      </c>
      <c r="BD6" s="110">
        <f>'Koochiching Co'!U6</f>
        <v>58428</v>
      </c>
      <c r="BE6" s="110">
        <f>'Norman Co'!U6</f>
        <v>25472</v>
      </c>
      <c r="BF6" s="110">
        <f>'Renville Co'!U6</f>
        <v>43482</v>
      </c>
      <c r="BG6" s="110">
        <f>'Metro Transpo'!U6</f>
        <v>0</v>
      </c>
      <c r="BH6" s="42">
        <f t="shared" ref="BH6:BH16" si="0">SUM(C6:BG6)</f>
        <v>32914565</v>
      </c>
    </row>
    <row r="7" spans="1:60" x14ac:dyDescent="0.2">
      <c r="A7">
        <v>2023</v>
      </c>
      <c r="B7" s="26" t="s">
        <v>2</v>
      </c>
      <c r="C7" s="110">
        <f>'Metro Transit'!U7</f>
        <v>1916</v>
      </c>
      <c r="D7" s="110">
        <f>'Olmsted Co'!U7</f>
        <v>1190276</v>
      </c>
      <c r="E7" s="110">
        <f>'Rice Co'!U7</f>
        <v>324545</v>
      </c>
      <c r="F7" s="110">
        <f>'Wadena Co'!U7</f>
        <v>65347</v>
      </c>
      <c r="G7" s="110">
        <f>'Beltrami Co'!U7</f>
        <v>288790</v>
      </c>
      <c r="H7" s="110">
        <f>'Becker Co'!U7</f>
        <v>213272</v>
      </c>
      <c r="I7" s="110">
        <f>'Douglas Co'!U7</f>
        <v>295542</v>
      </c>
      <c r="J7" s="110">
        <f>'Todd Co'!U7</f>
        <v>83265</v>
      </c>
      <c r="K7" s="110">
        <f>'Fillmore Co'!U7</f>
        <v>84478</v>
      </c>
      <c r="L7" s="110">
        <f>'Carlton Co'!U7</f>
        <v>156476</v>
      </c>
      <c r="M7" s="110">
        <f>'St. Louis Co'!U7</f>
        <v>1249517</v>
      </c>
      <c r="N7" s="110">
        <f>'Steele Co'!U7</f>
        <v>252111</v>
      </c>
      <c r="O7" s="110">
        <f>'Hubbard Co'!U7</f>
        <v>102399</v>
      </c>
      <c r="P7" s="110">
        <f>'Lyon Co'!U7</f>
        <v>70</v>
      </c>
      <c r="Q7" s="110">
        <f>'Scott Co'!U7</f>
        <v>960804</v>
      </c>
      <c r="R7" s="110">
        <f>'Freeborn Co'!U7</f>
        <v>178783</v>
      </c>
      <c r="S7" s="110">
        <f>'Otter Tail Co'!U7</f>
        <v>306025</v>
      </c>
      <c r="T7" s="110">
        <f>'Cass Co'!U7</f>
        <v>159410</v>
      </c>
      <c r="U7" s="110">
        <f>'Brown Co'!U7</f>
        <v>161352</v>
      </c>
      <c r="V7" s="110">
        <f>'Crow Wing Co'!U7</f>
        <v>553817</v>
      </c>
      <c r="W7" s="110">
        <f>'Wabasha Co'!U7</f>
        <v>76307</v>
      </c>
      <c r="X7" s="110">
        <f>'Chisago Co'!U7</f>
        <v>221883</v>
      </c>
      <c r="Y7" s="110">
        <f>'Blue Earth Co'!U7</f>
        <v>569822</v>
      </c>
      <c r="Z7" s="110">
        <f>'Cook Co'!U7</f>
        <v>78897</v>
      </c>
      <c r="AA7" s="110">
        <f>'Winona Co'!U7</f>
        <v>263154</v>
      </c>
      <c r="AB7" s="110">
        <f>'Pine Co'!U7</f>
        <v>115822</v>
      </c>
      <c r="AC7" s="110">
        <f>'Mille Lacs Co'!U7</f>
        <v>120359</v>
      </c>
      <c r="AD7" s="110">
        <f>'Lake Co'!U7</f>
        <v>71804</v>
      </c>
      <c r="AE7" s="110">
        <f>'Dakota Co'!U7</f>
        <v>1444108</v>
      </c>
      <c r="AF7" s="110">
        <f>'Ramsey Co'!U7</f>
        <v>3504974</v>
      </c>
      <c r="AG7" s="110">
        <f>'Washington Co'!U7</f>
        <v>1743603</v>
      </c>
      <c r="AH7" s="110">
        <f>'Anoka Co'!U7</f>
        <v>1002778</v>
      </c>
      <c r="AI7" s="110">
        <f>'Hennepin Co'!U7</f>
        <v>10348463</v>
      </c>
      <c r="AJ7" s="110">
        <f>'Carver Co'!U7</f>
        <v>685128</v>
      </c>
      <c r="AK7" s="110">
        <f>'Wright Co'!U7</f>
        <v>774227</v>
      </c>
      <c r="AL7" s="110">
        <f>'Polk Co'!U7</f>
        <v>69650</v>
      </c>
      <c r="AM7" s="110">
        <f>'Mower Co'!U7</f>
        <v>169961</v>
      </c>
      <c r="AN7" s="110">
        <f>'Nicollet Co'!U7</f>
        <v>140890</v>
      </c>
      <c r="AO7" s="110">
        <f>'Stearns Co'!U7</f>
        <v>526655</v>
      </c>
      <c r="AP7" s="110">
        <f>'Morrison Co'!U7</f>
        <v>152065</v>
      </c>
      <c r="AQ7" s="110">
        <f>'Kandiyohi Co'!U7</f>
        <v>275211</v>
      </c>
      <c r="AR7" s="110">
        <f>'Dodge Co'!U7</f>
        <v>72991</v>
      </c>
      <c r="AS7" s="110">
        <f>'Goodhue Co'!U7</f>
        <v>263502</v>
      </c>
      <c r="AT7" s="110">
        <f>'Sherburne Co'!U7</f>
        <v>518692</v>
      </c>
      <c r="AU7" s="110">
        <f>'Waseca Co'!U7</f>
        <v>67701</v>
      </c>
      <c r="AV7" s="110">
        <f>'Redwood Co'!U7</f>
        <v>75556</v>
      </c>
      <c r="AW7" s="110">
        <f>'Isanti Co'!U7</f>
        <v>209083</v>
      </c>
      <c r="AX7" s="110">
        <f>'Benton Co'!U7</f>
        <v>253395</v>
      </c>
      <c r="AY7" s="110">
        <f>'McLeod Co'!U7</f>
        <v>208149</v>
      </c>
      <c r="AZ7" s="110">
        <f>'Kanabec Co'!U7</f>
        <v>60719</v>
      </c>
      <c r="BA7" s="110">
        <f>'Nobles Co'!U7</f>
        <v>113514</v>
      </c>
      <c r="BB7" s="110">
        <f>'Le Sueur Co'!U7</f>
        <v>103478</v>
      </c>
      <c r="BC7" s="110">
        <f>'Roseau Co'!U7</f>
        <v>76580</v>
      </c>
      <c r="BD7" s="110">
        <f>'Koochiching Co'!U7</f>
        <v>55658</v>
      </c>
      <c r="BE7" s="110">
        <f>'Norman Co'!U7</f>
        <v>22310</v>
      </c>
      <c r="BF7" s="110">
        <f>'Renville Co'!U7</f>
        <v>42233</v>
      </c>
      <c r="BG7" s="110">
        <f>'Metro Transpo'!U7</f>
        <v>0</v>
      </c>
      <c r="BH7" s="42">
        <f t="shared" si="0"/>
        <v>31127517</v>
      </c>
    </row>
    <row r="8" spans="1:60" x14ac:dyDescent="0.2">
      <c r="A8">
        <v>2023</v>
      </c>
      <c r="B8" s="26" t="s">
        <v>3</v>
      </c>
      <c r="C8" s="110">
        <f>'Metro Transit'!U8</f>
        <v>7442</v>
      </c>
      <c r="D8" s="110">
        <f>'Olmsted Co'!U8</f>
        <v>1523273</v>
      </c>
      <c r="E8" s="110">
        <f>'Rice Co'!U8</f>
        <v>382134</v>
      </c>
      <c r="F8" s="110">
        <f>'Wadena Co'!U8</f>
        <v>80726</v>
      </c>
      <c r="G8" s="110">
        <f>'Beltrami Co'!U8</f>
        <v>337716</v>
      </c>
      <c r="H8" s="110">
        <f>'Becker Co'!U8</f>
        <v>252834</v>
      </c>
      <c r="I8" s="110">
        <f>'Douglas Co'!U8</f>
        <v>339752</v>
      </c>
      <c r="J8" s="110">
        <f>'Todd Co'!U8</f>
        <v>93125</v>
      </c>
      <c r="K8" s="110">
        <f>'Fillmore Co'!U8</f>
        <v>106681</v>
      </c>
      <c r="L8" s="110">
        <f>'Carlton Co'!U8</f>
        <v>178967</v>
      </c>
      <c r="M8" s="110">
        <f>'St. Louis Co'!U8</f>
        <v>1508514</v>
      </c>
      <c r="N8" s="110">
        <f>'Steele Co'!U8</f>
        <v>336589</v>
      </c>
      <c r="O8" s="110">
        <f>'Hubbard Co'!U8</f>
        <v>120618</v>
      </c>
      <c r="P8" s="110">
        <f>'Lyon Co'!U8</f>
        <v>25</v>
      </c>
      <c r="Q8" s="110">
        <f>'Scott Co'!U8</f>
        <v>1116052</v>
      </c>
      <c r="R8" s="110">
        <f>'Freeborn Co'!U8</f>
        <v>209487</v>
      </c>
      <c r="S8" s="110">
        <f>'Otter Tail Co'!U8</f>
        <v>356744</v>
      </c>
      <c r="T8" s="110">
        <f>'Cass Co'!U8</f>
        <v>168893</v>
      </c>
      <c r="U8" s="110">
        <f>'Brown Co'!U8</f>
        <v>205124</v>
      </c>
      <c r="V8" s="110">
        <f>'Crow Wing Co'!U8</f>
        <v>653648</v>
      </c>
      <c r="W8" s="110">
        <f>'Wabasha Co'!U8</f>
        <v>105339</v>
      </c>
      <c r="X8" s="110">
        <f>'Chisago Co'!U8</f>
        <v>267784</v>
      </c>
      <c r="Y8" s="110">
        <f>'Blue Earth Co'!U8</f>
        <v>732380</v>
      </c>
      <c r="Z8" s="110">
        <f>'Cook Co'!U8</f>
        <v>95939</v>
      </c>
      <c r="AA8" s="110">
        <f>'Winona Co'!U8</f>
        <v>314303</v>
      </c>
      <c r="AB8" s="110">
        <f>'Pine Co'!U8</f>
        <v>131609</v>
      </c>
      <c r="AC8" s="110">
        <f>'Mille Lacs Co'!U8</f>
        <v>137956</v>
      </c>
      <c r="AD8" s="110">
        <f>'Lake Co'!U8</f>
        <v>74981</v>
      </c>
      <c r="AE8" s="110">
        <f>'Dakota Co'!U8</f>
        <v>1816725</v>
      </c>
      <c r="AF8" s="110">
        <f>'Ramsey Co'!U8</f>
        <v>4233472</v>
      </c>
      <c r="AG8" s="110">
        <f>'Washington Co'!U8</f>
        <v>2115053</v>
      </c>
      <c r="AH8" s="110">
        <f>'Anoka Co'!U8</f>
        <v>1233285</v>
      </c>
      <c r="AI8" s="110">
        <f>'Hennepin Co'!U8</f>
        <v>13374668</v>
      </c>
      <c r="AJ8" s="110">
        <f>'Carver Co'!U8</f>
        <v>823241</v>
      </c>
      <c r="AK8" s="110">
        <f>'Wright Co'!U8</f>
        <v>940289</v>
      </c>
      <c r="AL8" s="110">
        <f>'Polk Co'!U8</f>
        <v>83131</v>
      </c>
      <c r="AM8" s="110">
        <f>'Mower Co'!U8</f>
        <v>199954</v>
      </c>
      <c r="AN8" s="110">
        <f>'Nicollet Co'!U8</f>
        <v>170643</v>
      </c>
      <c r="AO8" s="110">
        <f>'Stearns Co'!U8</f>
        <v>642037</v>
      </c>
      <c r="AP8" s="110">
        <f>'Morrison Co'!U8</f>
        <v>206724</v>
      </c>
      <c r="AQ8" s="110">
        <f>'Kandiyohi Co'!U8</f>
        <v>346715</v>
      </c>
      <c r="AR8" s="110">
        <f>'Dodge Co'!U8</f>
        <v>94214</v>
      </c>
      <c r="AS8" s="110">
        <f>'Goodhue Co'!U8</f>
        <v>326360</v>
      </c>
      <c r="AT8" s="110">
        <f>'Sherburne Co'!U8</f>
        <v>588789</v>
      </c>
      <c r="AU8" s="110">
        <f>'Waseca Co'!U8</f>
        <v>81485</v>
      </c>
      <c r="AV8" s="110">
        <f>'Redwood Co'!U8</f>
        <v>93951</v>
      </c>
      <c r="AW8" s="110">
        <f>'Isanti Co'!U8</f>
        <v>235870</v>
      </c>
      <c r="AX8" s="110">
        <f>'Benton Co'!U8</f>
        <v>312184</v>
      </c>
      <c r="AY8" s="110">
        <f>'McLeod Co'!U8</f>
        <v>244059</v>
      </c>
      <c r="AZ8" s="110">
        <f>'Kanabec Co'!U8</f>
        <v>70663</v>
      </c>
      <c r="BA8" s="110">
        <f>'Nobles Co'!U8</f>
        <v>118651</v>
      </c>
      <c r="BB8" s="110">
        <f>'Le Sueur Co'!U8</f>
        <v>125458</v>
      </c>
      <c r="BC8" s="110">
        <f>'Roseau Co'!U8</f>
        <v>86350</v>
      </c>
      <c r="BD8" s="110">
        <f>'Koochiching Co'!U8</f>
        <v>63627</v>
      </c>
      <c r="BE8" s="110">
        <f>'Norman Co'!U8</f>
        <v>26116</v>
      </c>
      <c r="BF8" s="110">
        <f>'Renville Co'!U8</f>
        <v>52274</v>
      </c>
      <c r="BG8" s="110">
        <f>'Metro Transpo'!U8</f>
        <v>0</v>
      </c>
      <c r="BH8" s="42">
        <f t="shared" si="0"/>
        <v>38544623</v>
      </c>
    </row>
    <row r="9" spans="1:60" x14ac:dyDescent="0.2">
      <c r="A9">
        <v>2023</v>
      </c>
      <c r="B9" s="26" t="s">
        <v>4</v>
      </c>
      <c r="C9" s="110">
        <f>'Metro Transit'!U9</f>
        <v>-1580</v>
      </c>
      <c r="D9" s="110">
        <f>'Olmsted Co'!U9</f>
        <v>1360547</v>
      </c>
      <c r="E9" s="110">
        <f>'Rice Co'!U9</f>
        <v>383274</v>
      </c>
      <c r="F9" s="110">
        <f>'Wadena Co'!U9</f>
        <v>74431</v>
      </c>
      <c r="G9" s="110">
        <f>'Beltrami Co'!U9</f>
        <v>320652</v>
      </c>
      <c r="H9" s="110">
        <f>'Becker Co'!U9</f>
        <v>256757</v>
      </c>
      <c r="I9" s="110">
        <f>'Douglas Co'!U9</f>
        <v>350641</v>
      </c>
      <c r="J9" s="110">
        <f>'Todd Co'!U9</f>
        <v>90885</v>
      </c>
      <c r="K9" s="110">
        <f>'Fillmore Co'!U9</f>
        <v>92274</v>
      </c>
      <c r="L9" s="110">
        <f>'Carlton Co'!U9</f>
        <v>165774</v>
      </c>
      <c r="M9" s="110">
        <f>'St. Louis Co'!U9</f>
        <v>1373263</v>
      </c>
      <c r="N9" s="110">
        <f>'Steele Co'!U9</f>
        <v>280915</v>
      </c>
      <c r="O9" s="110">
        <f>'Hubbard Co'!U9</f>
        <v>122458</v>
      </c>
      <c r="P9" s="110">
        <f>'Lyon Co'!U9</f>
        <v>8</v>
      </c>
      <c r="Q9" s="110">
        <f>'Scott Co'!U9</f>
        <v>1124617</v>
      </c>
      <c r="R9" s="110">
        <f>'Freeborn Co'!U9</f>
        <v>209462</v>
      </c>
      <c r="S9" s="110">
        <f>'Otter Tail Co'!U9</f>
        <v>357489</v>
      </c>
      <c r="T9" s="110">
        <f>'Cass Co'!U9</f>
        <v>172109</v>
      </c>
      <c r="U9" s="110">
        <f>'Brown Co'!U9</f>
        <v>197667</v>
      </c>
      <c r="V9" s="110">
        <f>'Crow Wing Co'!U9</f>
        <v>659402</v>
      </c>
      <c r="W9" s="110">
        <f>'Wabasha Co'!U9</f>
        <v>91158</v>
      </c>
      <c r="X9" s="110">
        <f>'Chisago Co'!U9</f>
        <v>263750</v>
      </c>
      <c r="Y9" s="110">
        <f>'Blue Earth Co'!U9</f>
        <v>644360</v>
      </c>
      <c r="Z9" s="110">
        <f>'Cook Co'!U9</f>
        <v>56993</v>
      </c>
      <c r="AA9" s="110">
        <f>'Winona Co'!U9</f>
        <v>405251</v>
      </c>
      <c r="AB9" s="110">
        <f>'Pine Co'!U9</f>
        <v>134307</v>
      </c>
      <c r="AC9" s="110">
        <f>'Mille Lacs Co'!U9</f>
        <v>139935</v>
      </c>
      <c r="AD9" s="110">
        <f>'Lake Co'!U9</f>
        <v>61219</v>
      </c>
      <c r="AE9" s="110">
        <f>'Dakota Co'!U9</f>
        <v>1664208</v>
      </c>
      <c r="AF9" s="110">
        <f>'Ramsey Co'!U9</f>
        <v>3851706</v>
      </c>
      <c r="AG9" s="110">
        <f>'Washington Co'!U9</f>
        <v>2034900</v>
      </c>
      <c r="AH9" s="110">
        <f>'Anoka Co'!U9</f>
        <v>1154354</v>
      </c>
      <c r="AI9" s="110">
        <f>'Hennepin Co'!U9</f>
        <v>11966412</v>
      </c>
      <c r="AJ9" s="110">
        <f>'Carver Co'!U9</f>
        <v>720562</v>
      </c>
      <c r="AK9" s="110">
        <f>'Wright Co'!U9</f>
        <v>925187</v>
      </c>
      <c r="AL9" s="110">
        <f>'Polk Co'!U9</f>
        <v>82005</v>
      </c>
      <c r="AM9" s="110">
        <f>'Mower Co'!U9</f>
        <v>202309</v>
      </c>
      <c r="AN9" s="110">
        <f>'Nicollet Co'!U9</f>
        <v>159664</v>
      </c>
      <c r="AO9" s="110">
        <f>'Stearns Co'!U9</f>
        <v>634021</v>
      </c>
      <c r="AP9" s="110">
        <f>'Morrison Co'!U9</f>
        <v>172545</v>
      </c>
      <c r="AQ9" s="110">
        <f>'Kandiyohi Co'!U9</f>
        <v>347256</v>
      </c>
      <c r="AR9" s="110">
        <f>'Dodge Co'!U9</f>
        <v>78858</v>
      </c>
      <c r="AS9" s="110">
        <f>'Goodhue Co'!U9</f>
        <v>328372</v>
      </c>
      <c r="AT9" s="110">
        <f>'Sherburne Co'!U9</f>
        <v>562044</v>
      </c>
      <c r="AU9" s="110">
        <f>'Waseca Co'!U9</f>
        <v>78007</v>
      </c>
      <c r="AV9" s="110">
        <f>'Redwood Co'!U9</f>
        <v>95830</v>
      </c>
      <c r="AW9" s="110">
        <f>'Isanti Co'!U9</f>
        <v>252964</v>
      </c>
      <c r="AX9" s="110">
        <f>'Benton Co'!U9</f>
        <v>292251</v>
      </c>
      <c r="AY9" s="110">
        <f>'McLeod Co'!U9</f>
        <v>244766</v>
      </c>
      <c r="AZ9" s="110">
        <f>'Kanabec Co'!U9</f>
        <v>63184</v>
      </c>
      <c r="BA9" s="110">
        <f>'Nobles Co'!U9</f>
        <v>127709</v>
      </c>
      <c r="BB9" s="110">
        <f>'Le Sueur Co'!U9</f>
        <v>116730</v>
      </c>
      <c r="BC9" s="110">
        <f>'Roseau Co'!U9</f>
        <v>88352</v>
      </c>
      <c r="BD9" s="110">
        <f>'Koochiching Co'!U9</f>
        <v>60668</v>
      </c>
      <c r="BE9" s="110">
        <f>'Norman Co'!U9</f>
        <v>26146</v>
      </c>
      <c r="BF9" s="110">
        <f>'Renville Co'!U9</f>
        <v>48624</v>
      </c>
      <c r="BG9" s="110">
        <f>'Metro Transpo'!U9</f>
        <v>0</v>
      </c>
      <c r="BH9" s="42">
        <f t="shared" si="0"/>
        <v>35767652</v>
      </c>
    </row>
    <row r="10" spans="1:60" x14ac:dyDescent="0.2">
      <c r="A10">
        <v>2023</v>
      </c>
      <c r="B10" s="26" t="s">
        <v>5</v>
      </c>
      <c r="C10" s="110">
        <f>'Metro Transit'!U10</f>
        <v>-116469</v>
      </c>
      <c r="D10" s="110">
        <f>'Olmsted Co'!U10</f>
        <v>1532033</v>
      </c>
      <c r="E10" s="110">
        <f>'Rice Co'!U10</f>
        <v>442127</v>
      </c>
      <c r="F10" s="110">
        <f>'Wadena Co'!U10</f>
        <v>95696</v>
      </c>
      <c r="G10" s="110">
        <f>'Beltrami Co'!U10</f>
        <v>405057</v>
      </c>
      <c r="H10" s="110">
        <f>'Becker Co'!U10</f>
        <v>367813</v>
      </c>
      <c r="I10" s="110">
        <f>'Douglas Co'!U10</f>
        <v>479357</v>
      </c>
      <c r="J10" s="110">
        <f>'Todd Co'!U10</f>
        <v>109227</v>
      </c>
      <c r="K10" s="110">
        <f>'Fillmore Co'!U10</f>
        <v>111750</v>
      </c>
      <c r="L10" s="110">
        <f>'Carlton Co'!U10</f>
        <v>211162</v>
      </c>
      <c r="M10" s="110">
        <f>'St. Louis Co'!U10</f>
        <v>1703915</v>
      </c>
      <c r="N10" s="110">
        <f>'Steele Co'!U10</f>
        <v>329225</v>
      </c>
      <c r="O10" s="110">
        <f>'Hubbard Co'!U10</f>
        <v>171760</v>
      </c>
      <c r="P10" s="110">
        <f>'Lyon Co'!U10</f>
        <v>46</v>
      </c>
      <c r="Q10" s="110">
        <f>'Scott Co'!U10</f>
        <v>1287640</v>
      </c>
      <c r="R10" s="110">
        <f>'Freeborn Co'!U10</f>
        <v>233338</v>
      </c>
      <c r="S10" s="110">
        <f>'Otter Tail Co'!U10</f>
        <v>499058</v>
      </c>
      <c r="T10" s="110">
        <f>'Cass Co'!U10</f>
        <v>283435</v>
      </c>
      <c r="U10" s="110">
        <f>'Brown Co'!U10</f>
        <v>203900</v>
      </c>
      <c r="V10" s="110">
        <f>'Crow Wing Co'!U10</f>
        <v>896719</v>
      </c>
      <c r="W10" s="110">
        <f>'Wabasha Co'!U10</f>
        <v>121458</v>
      </c>
      <c r="X10" s="110">
        <f>'Chisago Co'!U10</f>
        <v>327976</v>
      </c>
      <c r="Y10" s="110">
        <f>'Blue Earth Co'!U10</f>
        <v>715205</v>
      </c>
      <c r="Z10" s="110">
        <f>'Cook Co'!U10</f>
        <v>84509</v>
      </c>
      <c r="AA10" s="110">
        <f>'Winona Co'!U10</f>
        <v>336103</v>
      </c>
      <c r="AB10" s="110">
        <f>'Pine Co'!U10</f>
        <v>166148</v>
      </c>
      <c r="AC10" s="110">
        <f>'Mille Lacs Co'!U10</f>
        <v>176243</v>
      </c>
      <c r="AD10" s="110">
        <f>'Lake Co'!U10</f>
        <v>88515</v>
      </c>
      <c r="AE10" s="110">
        <f>'Dakota Co'!U10</f>
        <v>1978632</v>
      </c>
      <c r="AF10" s="110">
        <f>'Ramsey Co'!U10</f>
        <v>4287538</v>
      </c>
      <c r="AG10" s="110">
        <f>'Washington Co'!U10</f>
        <v>2397361</v>
      </c>
      <c r="AH10" s="110">
        <f>'Anoka Co'!U10</f>
        <v>1477204</v>
      </c>
      <c r="AI10" s="110">
        <f>'Hennepin Co'!U10</f>
        <v>13334827</v>
      </c>
      <c r="AJ10" s="110">
        <f>'Carver Co'!U10</f>
        <v>899954</v>
      </c>
      <c r="AK10" s="110">
        <f>'Wright Co'!U10</f>
        <v>1112252</v>
      </c>
      <c r="AL10" s="110">
        <f>'Polk Co'!U10</f>
        <v>98387</v>
      </c>
      <c r="AM10" s="110">
        <f>'Mower Co'!U10</f>
        <v>221209</v>
      </c>
      <c r="AN10" s="110">
        <f>'Nicollet Co'!U10</f>
        <v>186719</v>
      </c>
      <c r="AO10" s="110">
        <f>'Stearns Co'!U10</f>
        <v>760019</v>
      </c>
      <c r="AP10" s="110">
        <f>'Morrison Co'!U10</f>
        <v>228577</v>
      </c>
      <c r="AQ10" s="110">
        <f>'Kandiyohi Co'!U10</f>
        <v>425932</v>
      </c>
      <c r="AR10" s="110">
        <f>'Dodge Co'!U10</f>
        <v>91087</v>
      </c>
      <c r="AS10" s="110">
        <f>'Goodhue Co'!U10</f>
        <v>378189</v>
      </c>
      <c r="AT10" s="110">
        <f>'Sherburne Co'!U10</f>
        <v>778687</v>
      </c>
      <c r="AU10" s="110">
        <f>'Waseca Co'!U10</f>
        <v>90325</v>
      </c>
      <c r="AV10" s="110">
        <f>'Redwood Co'!U10</f>
        <v>106866</v>
      </c>
      <c r="AW10" s="110">
        <f>'Isanti Co'!U10</f>
        <v>311069</v>
      </c>
      <c r="AX10" s="110">
        <f>'Benton Co'!U10</f>
        <v>355085</v>
      </c>
      <c r="AY10" s="110">
        <f>'McLeod Co'!U10</f>
        <v>278579</v>
      </c>
      <c r="AZ10" s="110">
        <f>'Kanabec Co'!U10</f>
        <v>85254</v>
      </c>
      <c r="BA10" s="110">
        <f>'Nobles Co'!U10</f>
        <v>147472</v>
      </c>
      <c r="BB10" s="110">
        <f>'Le Sueur Co'!U10</f>
        <v>148074</v>
      </c>
      <c r="BC10" s="110">
        <f>'Roseau Co'!U10</f>
        <v>109042</v>
      </c>
      <c r="BD10" s="110">
        <f>'Koochiching Co'!U10</f>
        <v>82966</v>
      </c>
      <c r="BE10" s="110">
        <f>'Norman Co'!U10</f>
        <v>32035</v>
      </c>
      <c r="BF10" s="110">
        <f>'Renville Co'!U10</f>
        <v>63866</v>
      </c>
      <c r="BG10" s="110">
        <f>'Metro Transpo'!U10</f>
        <v>0</v>
      </c>
      <c r="BH10" s="42">
        <f t="shared" si="0"/>
        <v>41730153</v>
      </c>
    </row>
    <row r="11" spans="1:60" x14ac:dyDescent="0.2">
      <c r="A11">
        <v>2023</v>
      </c>
      <c r="B11" s="26" t="s">
        <v>6</v>
      </c>
      <c r="C11" s="110">
        <f>'Metro Transit'!U11</f>
        <v>397</v>
      </c>
      <c r="D11" s="110">
        <f>'Olmsted Co'!U11</f>
        <v>1616578</v>
      </c>
      <c r="E11" s="110">
        <f>'Rice Co'!U11</f>
        <v>482207</v>
      </c>
      <c r="F11" s="110">
        <f>'Wadena Co'!U11</f>
        <v>103984</v>
      </c>
      <c r="G11" s="110">
        <f>'Beltrami Co'!U11</f>
        <v>449092</v>
      </c>
      <c r="H11" s="110">
        <f>'Becker Co'!U11</f>
        <v>416459</v>
      </c>
      <c r="I11" s="110">
        <f>'Douglas Co'!U11</f>
        <v>558536</v>
      </c>
      <c r="J11" s="110">
        <f>'Todd Co'!U11</f>
        <v>134544</v>
      </c>
      <c r="K11" s="110">
        <f>'Fillmore Co'!U11</f>
        <v>132886</v>
      </c>
      <c r="L11" s="110">
        <f>'Carlton Co'!U11</f>
        <v>229158</v>
      </c>
      <c r="M11" s="110">
        <f>'St. Louis Co'!U11</f>
        <v>1942044</v>
      </c>
      <c r="N11" s="110">
        <f>'Steele Co'!U11</f>
        <v>374662</v>
      </c>
      <c r="O11" s="110">
        <f>'Hubbard Co'!U11</f>
        <v>215767</v>
      </c>
      <c r="P11" s="110">
        <f>'Lyon Co'!U11</f>
        <v>212</v>
      </c>
      <c r="Q11" s="110">
        <f>'Scott Co'!U11</f>
        <v>1454731</v>
      </c>
      <c r="R11" s="110">
        <f>'Freeborn Co'!U11</f>
        <v>261476</v>
      </c>
      <c r="S11" s="110">
        <f>'Otter Tail Co'!U11</f>
        <v>586149</v>
      </c>
      <c r="T11" s="110">
        <f>'Cass Co'!U11</f>
        <v>372390</v>
      </c>
      <c r="U11" s="110">
        <f>'Brown Co'!U11</f>
        <v>218085</v>
      </c>
      <c r="V11" s="110">
        <f>'Crow Wing Co'!U11</f>
        <v>1086151</v>
      </c>
      <c r="W11" s="110">
        <f>'Wabasha Co'!U11</f>
        <v>133582</v>
      </c>
      <c r="X11" s="110">
        <f>'Chisago Co'!U11</f>
        <v>363556</v>
      </c>
      <c r="Y11" s="110">
        <f>'Blue Earth Co'!U11</f>
        <v>824807</v>
      </c>
      <c r="Z11" s="110">
        <f>'Cook Co'!U11</f>
        <v>129165</v>
      </c>
      <c r="AA11" s="110">
        <f>'Winona Co'!U11</f>
        <v>343738</v>
      </c>
      <c r="AB11" s="110">
        <f>'Pine Co'!U11</f>
        <v>182993</v>
      </c>
      <c r="AC11" s="110">
        <f>'Mille Lacs Co'!U11</f>
        <v>195187</v>
      </c>
      <c r="AD11" s="110">
        <f>'Lake Co'!U11</f>
        <v>116096</v>
      </c>
      <c r="AE11" s="110">
        <f>'Dakota Co'!U11</f>
        <v>2104178</v>
      </c>
      <c r="AF11" s="110">
        <f>'Ramsey Co'!U11</f>
        <v>4616796</v>
      </c>
      <c r="AG11" s="110">
        <f>'Washington Co'!U11</f>
        <v>2557649</v>
      </c>
      <c r="AH11" s="110">
        <f>'Anoka Co'!U11</f>
        <v>1439329</v>
      </c>
      <c r="AI11" s="110">
        <f>'Hennepin Co'!U11</f>
        <v>15133499</v>
      </c>
      <c r="AJ11" s="110">
        <f>'Carver Co'!U11</f>
        <v>1022618</v>
      </c>
      <c r="AK11" s="110">
        <f>'Wright Co'!U11</f>
        <v>1169310</v>
      </c>
      <c r="AL11" s="110">
        <f>'Polk Co'!U11</f>
        <v>109356</v>
      </c>
      <c r="AM11" s="110">
        <f>'Mower Co'!U11</f>
        <v>228389</v>
      </c>
      <c r="AN11" s="110">
        <f>'Nicollet Co'!U11</f>
        <v>202337</v>
      </c>
      <c r="AO11" s="110">
        <f>'Stearns Co'!U11</f>
        <v>816802</v>
      </c>
      <c r="AP11" s="110">
        <f>'Morrison Co'!U11</f>
        <v>252907</v>
      </c>
      <c r="AQ11" s="110">
        <f>'Kandiyohi Co'!U11</f>
        <v>445466</v>
      </c>
      <c r="AR11" s="110">
        <f>'Dodge Co'!U11</f>
        <v>102717</v>
      </c>
      <c r="AS11" s="110">
        <f>'Goodhue Co'!U11</f>
        <v>403401</v>
      </c>
      <c r="AT11" s="110">
        <f>'Sherburne Co'!U11</f>
        <v>797899</v>
      </c>
      <c r="AU11" s="110">
        <f>'Waseca Co'!U11</f>
        <v>95141</v>
      </c>
      <c r="AV11" s="110">
        <f>'Redwood Co'!U11</f>
        <v>128126</v>
      </c>
      <c r="AW11" s="110">
        <f>'Isanti Co'!U11</f>
        <v>322652</v>
      </c>
      <c r="AX11" s="110">
        <f>'Benton Co'!U11</f>
        <v>350714</v>
      </c>
      <c r="AY11" s="110">
        <f>'McLeod Co'!U11</f>
        <v>294349</v>
      </c>
      <c r="AZ11" s="110">
        <f>'Kanabec Co'!U11</f>
        <v>100082</v>
      </c>
      <c r="BA11" s="110">
        <f>'Nobles Co'!U11</f>
        <v>155040</v>
      </c>
      <c r="BB11" s="110">
        <f>'Le Sueur Co'!U11</f>
        <v>164288</v>
      </c>
      <c r="BC11" s="110">
        <f>'Roseau Co'!U11</f>
        <v>119979</v>
      </c>
      <c r="BD11" s="110">
        <f>'Koochiching Co'!U11</f>
        <v>99883</v>
      </c>
      <c r="BE11" s="110">
        <f>'Norman Co'!U11</f>
        <v>33655</v>
      </c>
      <c r="BF11" s="110">
        <f>'Renville Co'!U11</f>
        <v>82023</v>
      </c>
      <c r="BG11" s="110">
        <f>'Metro Transpo'!U11</f>
        <v>0</v>
      </c>
      <c r="BH11" s="42">
        <f t="shared" si="0"/>
        <v>46273217</v>
      </c>
    </row>
    <row r="12" spans="1:60" x14ac:dyDescent="0.2">
      <c r="A12">
        <v>2023</v>
      </c>
      <c r="B12" s="26" t="s">
        <v>7</v>
      </c>
      <c r="C12" s="110">
        <f>'Metro Transit'!U12</f>
        <v>7</v>
      </c>
      <c r="D12" s="110">
        <f>'Olmsted Co'!U12</f>
        <v>1432413</v>
      </c>
      <c r="E12" s="110">
        <f>'Rice Co'!U12</f>
        <v>379575</v>
      </c>
      <c r="F12" s="110">
        <f>'Wadena Co'!U12</f>
        <v>91449</v>
      </c>
      <c r="G12" s="110">
        <f>'Beltrami Co'!U12</f>
        <v>428201</v>
      </c>
      <c r="H12" s="110">
        <f>'Becker Co'!U12</f>
        <v>367939</v>
      </c>
      <c r="I12" s="110">
        <f>'Douglas Co'!U12</f>
        <v>470533</v>
      </c>
      <c r="J12" s="110">
        <f>'Todd Co'!U12</f>
        <v>113482</v>
      </c>
      <c r="K12" s="110">
        <f>'Fillmore Co'!U12</f>
        <v>116140</v>
      </c>
      <c r="L12" s="110">
        <f>'Carlton Co'!U12</f>
        <v>207687</v>
      </c>
      <c r="M12" s="110">
        <f>'St. Louis Co'!U12</f>
        <v>1821543</v>
      </c>
      <c r="N12" s="110">
        <f>'Steele Co'!U12</f>
        <v>308557</v>
      </c>
      <c r="O12" s="110">
        <f>'Hubbard Co'!U12</f>
        <v>204786</v>
      </c>
      <c r="P12" s="110">
        <f>'Lyon Co'!U12</f>
        <v>40</v>
      </c>
      <c r="Q12" s="110">
        <f>'Scott Co'!U12</f>
        <v>1310240</v>
      </c>
      <c r="R12" s="110">
        <f>'Freeborn Co'!U12</f>
        <v>231143</v>
      </c>
      <c r="S12" s="110">
        <f>'Otter Tail Co'!U12</f>
        <v>514895</v>
      </c>
      <c r="T12" s="110">
        <f>'Cass Co'!U12</f>
        <v>390081</v>
      </c>
      <c r="U12" s="110">
        <f>'Brown Co'!U12</f>
        <v>191838</v>
      </c>
      <c r="V12" s="110">
        <f>'Crow Wing Co'!U12</f>
        <v>1027375</v>
      </c>
      <c r="W12" s="110">
        <f>'Wabasha Co'!U12</f>
        <v>111162</v>
      </c>
      <c r="X12" s="110">
        <f>'Chisago Co'!U12</f>
        <v>303233</v>
      </c>
      <c r="Y12" s="110">
        <f>'Blue Earth Co'!U12</f>
        <v>667092</v>
      </c>
      <c r="Z12" s="110">
        <f>'Cook Co'!U12</f>
        <v>147603</v>
      </c>
      <c r="AA12" s="110">
        <f>'Winona Co'!U12</f>
        <v>302056</v>
      </c>
      <c r="AB12" s="110">
        <f>'Pine Co'!U12</f>
        <v>170838</v>
      </c>
      <c r="AC12" s="110">
        <f>'Mille Lacs Co'!U12</f>
        <v>174281</v>
      </c>
      <c r="AD12" s="110">
        <f>'Lake Co'!U12</f>
        <v>129131</v>
      </c>
      <c r="AE12" s="110">
        <f>'Dakota Co'!U12</f>
        <v>1861024</v>
      </c>
      <c r="AF12" s="110">
        <f>'Ramsey Co'!U12</f>
        <v>4011780</v>
      </c>
      <c r="AG12" s="110">
        <f>'Washington Co'!U12</f>
        <v>2309554</v>
      </c>
      <c r="AH12" s="110">
        <f>'Anoka Co'!U12</f>
        <v>1257124</v>
      </c>
      <c r="AI12" s="110">
        <f>'Hennepin Co'!U12</f>
        <v>12692096</v>
      </c>
      <c r="AJ12" s="110">
        <f>'Carver Co'!U12</f>
        <v>862558</v>
      </c>
      <c r="AK12" s="110">
        <f>'Wright Co'!U12</f>
        <v>1069993</v>
      </c>
      <c r="AL12" s="110">
        <f>'Polk Co'!U12</f>
        <v>102095</v>
      </c>
      <c r="AM12" s="110">
        <f>'Mower Co'!U12</f>
        <v>212527</v>
      </c>
      <c r="AN12" s="110">
        <f>'Nicollet Co'!U12</f>
        <v>184470</v>
      </c>
      <c r="AO12" s="110">
        <f>'Stearns Co'!U12</f>
        <v>717129</v>
      </c>
      <c r="AP12" s="110">
        <f>'Morrison Co'!U12</f>
        <v>230786</v>
      </c>
      <c r="AQ12" s="110">
        <f>'Kandiyohi Co'!U12</f>
        <v>391933</v>
      </c>
      <c r="AR12" s="110">
        <f>'Dodge Co'!U12</f>
        <v>86388</v>
      </c>
      <c r="AS12" s="110">
        <f>'Goodhue Co'!U12</f>
        <v>346560</v>
      </c>
      <c r="AT12" s="110">
        <f>'Sherburne Co'!U12</f>
        <v>674686</v>
      </c>
      <c r="AU12" s="110">
        <f>'Waseca Co'!U12</f>
        <v>88075</v>
      </c>
      <c r="AV12" s="110">
        <f>'Redwood Co'!U12</f>
        <v>106177</v>
      </c>
      <c r="AW12" s="110">
        <f>'Isanti Co'!U12</f>
        <v>278958</v>
      </c>
      <c r="AX12" s="110">
        <f>'Benton Co'!U12</f>
        <v>296446</v>
      </c>
      <c r="AY12" s="110">
        <f>'McLeod Co'!U12</f>
        <v>249377</v>
      </c>
      <c r="AZ12" s="110">
        <f>'Kanabec Co'!U12</f>
        <v>82362</v>
      </c>
      <c r="BA12" s="110">
        <f>'Nobles Co'!U12</f>
        <v>126491</v>
      </c>
      <c r="BB12" s="110">
        <f>'Le Sueur Co'!U12</f>
        <v>147336</v>
      </c>
      <c r="BC12" s="110">
        <f>'Roseau Co'!U12</f>
        <v>115523</v>
      </c>
      <c r="BD12" s="110">
        <f>'Koochiching Co'!U12</f>
        <v>88802</v>
      </c>
      <c r="BE12" s="110">
        <f>'Norman Co'!U12</f>
        <v>28273</v>
      </c>
      <c r="BF12" s="110">
        <f>'Renville Co'!U12</f>
        <v>77798</v>
      </c>
      <c r="BG12" s="110">
        <f>'Metro Transpo'!U12</f>
        <v>0</v>
      </c>
      <c r="BH12" s="42">
        <f t="shared" si="0"/>
        <v>40309641</v>
      </c>
    </row>
    <row r="13" spans="1:60" x14ac:dyDescent="0.2">
      <c r="A13">
        <v>2023</v>
      </c>
      <c r="B13" s="26" t="s">
        <v>8</v>
      </c>
      <c r="C13" s="110">
        <f>'Metro Transit'!U13</f>
        <v>2917</v>
      </c>
      <c r="D13" s="110">
        <f>'Olmsted Co'!U13</f>
        <v>1520269</v>
      </c>
      <c r="E13" s="110">
        <f>'Rice Co'!U13</f>
        <v>393849</v>
      </c>
      <c r="F13" s="110">
        <f>'Wadena Co'!U13</f>
        <v>98153</v>
      </c>
      <c r="G13" s="110">
        <f>'Beltrami Co'!U13</f>
        <v>412890</v>
      </c>
      <c r="H13" s="110">
        <f>'Becker Co'!U13</f>
        <v>388122</v>
      </c>
      <c r="I13" s="110">
        <f>'Douglas Co'!U13</f>
        <v>455979</v>
      </c>
      <c r="J13" s="110">
        <f>'Todd Co'!U13</f>
        <v>119531</v>
      </c>
      <c r="K13" s="110">
        <f>'Fillmore Co'!U13</f>
        <v>119894</v>
      </c>
      <c r="L13" s="110">
        <f>'Carlton Co'!U13</f>
        <v>211731</v>
      </c>
      <c r="M13" s="110">
        <f>'St. Louis Co'!U13</f>
        <v>1855954</v>
      </c>
      <c r="N13" s="110">
        <f>'Steele Co'!U13</f>
        <v>311584</v>
      </c>
      <c r="O13" s="110">
        <f>'Hubbard Co'!U13</f>
        <v>191300</v>
      </c>
      <c r="P13" s="110">
        <f>'Lyon Co'!U13</f>
        <v>520</v>
      </c>
      <c r="Q13" s="110">
        <f>'Scott Co'!U13</f>
        <v>1350457</v>
      </c>
      <c r="R13" s="110">
        <f>'Freeborn Co'!U13</f>
        <v>242343</v>
      </c>
      <c r="S13" s="110">
        <f>'Otter Tail Co'!U13</f>
        <v>513109</v>
      </c>
      <c r="T13" s="110">
        <f>'Cass Co'!U13</f>
        <v>364232</v>
      </c>
      <c r="U13" s="110">
        <f>'Brown Co'!U13</f>
        <v>208285</v>
      </c>
      <c r="V13" s="110">
        <f>'Crow Wing Co'!U13</f>
        <v>991561</v>
      </c>
      <c r="W13" s="110">
        <f>'Wabasha Co'!U13</f>
        <v>111465</v>
      </c>
      <c r="X13" s="110">
        <f>'Chisago Co'!U13</f>
        <v>302338</v>
      </c>
      <c r="Y13" s="110">
        <f>'Blue Earth Co'!U13</f>
        <v>678355</v>
      </c>
      <c r="Z13" s="110">
        <f>'Cook Co'!U13</f>
        <v>145727</v>
      </c>
      <c r="AA13" s="110">
        <f>'Winona Co'!U13</f>
        <v>347980</v>
      </c>
      <c r="AB13" s="110">
        <f>'Pine Co'!U13</f>
        <v>175441</v>
      </c>
      <c r="AC13" s="110">
        <f>'Mille Lacs Co'!U13</f>
        <v>172271</v>
      </c>
      <c r="AD13" s="110">
        <f>'Lake Co'!U13</f>
        <v>125638</v>
      </c>
      <c r="AE13" s="110">
        <f>'Dakota Co'!U13</f>
        <v>1981998</v>
      </c>
      <c r="AF13" s="110">
        <f>'Ramsey Co'!U13</f>
        <v>4549551</v>
      </c>
      <c r="AG13" s="110">
        <f>'Washington Co'!U13</f>
        <v>2312183</v>
      </c>
      <c r="AH13" s="110">
        <f>'Anoka Co'!U13</f>
        <v>1292275</v>
      </c>
      <c r="AI13" s="110">
        <f>'Hennepin Co'!U13</f>
        <v>13545237</v>
      </c>
      <c r="AJ13" s="110">
        <f>'Carver Co'!U13</f>
        <v>868915</v>
      </c>
      <c r="AK13" s="110">
        <f>'Wright Co'!U13</f>
        <v>1097728</v>
      </c>
      <c r="AL13" s="110">
        <f>'Polk Co'!U13</f>
        <v>100546</v>
      </c>
      <c r="AM13" s="110">
        <f>'Mower Co'!U13</f>
        <v>219337</v>
      </c>
      <c r="AN13" s="110">
        <f>'Nicollet Co'!U13</f>
        <v>189253</v>
      </c>
      <c r="AO13" s="110">
        <f>'Stearns Co'!U13</f>
        <v>771211</v>
      </c>
      <c r="AP13" s="110">
        <f>'Morrison Co'!U13</f>
        <v>225217</v>
      </c>
      <c r="AQ13" s="110">
        <f>'Kandiyohi Co'!U13</f>
        <v>396048</v>
      </c>
      <c r="AR13" s="110">
        <f>'Dodge Co'!U13</f>
        <v>122098</v>
      </c>
      <c r="AS13" s="110">
        <f>'Goodhue Co'!U13</f>
        <v>363933</v>
      </c>
      <c r="AT13" s="110">
        <f>'Sherburne Co'!U13</f>
        <v>730915</v>
      </c>
      <c r="AU13" s="110">
        <f>'Waseca Co'!U13</f>
        <v>88566</v>
      </c>
      <c r="AV13" s="110">
        <f>'Redwood Co'!U13</f>
        <v>116782</v>
      </c>
      <c r="AW13" s="110">
        <f>'Isanti Co'!U13</f>
        <v>297827</v>
      </c>
      <c r="AX13" s="110">
        <f>'Benton Co'!U13</f>
        <v>344860</v>
      </c>
      <c r="AY13" s="110">
        <f>'McLeod Co'!U13</f>
        <v>260624</v>
      </c>
      <c r="AZ13" s="110">
        <f>'Kanabec Co'!U13</f>
        <v>87311</v>
      </c>
      <c r="BA13" s="110">
        <f>'Nobles Co'!U13</f>
        <v>144907</v>
      </c>
      <c r="BB13" s="110">
        <f>'Le Sueur Co'!U13</f>
        <v>152323</v>
      </c>
      <c r="BC13" s="110">
        <f>'Roseau Co'!U13</f>
        <v>121374</v>
      </c>
      <c r="BD13" s="110">
        <f>'Koochiching Co'!U13</f>
        <v>97384</v>
      </c>
      <c r="BE13" s="110">
        <f>'Norman Co'!U13</f>
        <v>39583</v>
      </c>
      <c r="BF13" s="110">
        <f>'Renville Co'!U13</f>
        <v>86780</v>
      </c>
      <c r="BG13" s="110">
        <f>'Metro Transpo'!U13</f>
        <v>0</v>
      </c>
      <c r="BH13" s="42">
        <f t="shared" si="0"/>
        <v>42416661</v>
      </c>
    </row>
    <row r="14" spans="1:60" x14ac:dyDescent="0.2">
      <c r="A14">
        <v>2023</v>
      </c>
      <c r="B14" s="26" t="s">
        <v>9</v>
      </c>
      <c r="C14" s="110">
        <f>'Metro Transit'!U14</f>
        <v>1501</v>
      </c>
      <c r="D14" s="110">
        <f>'Olmsted Co'!U14</f>
        <v>1470062</v>
      </c>
      <c r="E14" s="110">
        <f>'Rice Co'!U14</f>
        <v>426601</v>
      </c>
      <c r="F14" s="110">
        <f>'Wadena Co'!U14</f>
        <v>96540</v>
      </c>
      <c r="G14" s="110">
        <f>'Beltrami Co'!U14</f>
        <v>394535</v>
      </c>
      <c r="H14" s="110">
        <f>'Becker Co'!U14</f>
        <v>324805</v>
      </c>
      <c r="I14" s="110">
        <f>'Douglas Co'!U14</f>
        <v>449282</v>
      </c>
      <c r="J14" s="110">
        <f>'Todd Co'!U14</f>
        <v>119153</v>
      </c>
      <c r="K14" s="110">
        <f>'Fillmore Co'!U14</f>
        <v>119136</v>
      </c>
      <c r="L14" s="110">
        <f>'Carlton Co'!U14</f>
        <v>223330</v>
      </c>
      <c r="M14" s="110">
        <f>'St. Louis Co'!U14</f>
        <v>1787850</v>
      </c>
      <c r="N14" s="110">
        <f>'Steele Co'!U14</f>
        <v>322182</v>
      </c>
      <c r="O14" s="110">
        <f>'Hubbard Co'!U14</f>
        <v>183157</v>
      </c>
      <c r="P14" s="110">
        <f>'Lyon Co'!U14</f>
        <v>-122</v>
      </c>
      <c r="Q14" s="110">
        <f>'Scott Co'!U14</f>
        <v>1201339</v>
      </c>
      <c r="R14" s="110">
        <f>'Freeborn Co'!U14</f>
        <v>237292</v>
      </c>
      <c r="S14" s="110">
        <f>'Otter Tail Co'!U14</f>
        <v>467125</v>
      </c>
      <c r="T14" s="110">
        <f>'Cass Co'!U14</f>
        <v>315966</v>
      </c>
      <c r="U14" s="110">
        <f>'Brown Co'!U14</f>
        <v>205488</v>
      </c>
      <c r="V14" s="110">
        <f>'Crow Wing Co'!U14</f>
        <v>873834</v>
      </c>
      <c r="W14" s="110">
        <f>'Wabasha Co'!U14</f>
        <v>115326</v>
      </c>
      <c r="X14" s="110">
        <f>'Chisago Co'!U14</f>
        <v>318361</v>
      </c>
      <c r="Y14" s="110">
        <f>'Blue Earth Co'!U14</f>
        <v>665361</v>
      </c>
      <c r="Z14" s="110">
        <f>'Cook Co'!U14</f>
        <v>145319</v>
      </c>
      <c r="AA14" s="110">
        <f>'Winona Co'!U14</f>
        <v>308129</v>
      </c>
      <c r="AB14" s="110">
        <f>'Pine Co'!U14</f>
        <v>173455</v>
      </c>
      <c r="AC14" s="110">
        <f>'Mille Lacs Co'!U14</f>
        <v>189240</v>
      </c>
      <c r="AD14" s="110">
        <f>'Lake Co'!U14</f>
        <v>122368</v>
      </c>
      <c r="AE14" s="110">
        <f>'Dakota Co'!U14</f>
        <v>1919106</v>
      </c>
      <c r="AF14" s="110">
        <f>'Ramsey Co'!U14</f>
        <v>4593484</v>
      </c>
      <c r="AG14" s="110">
        <f>'Washington Co'!U14</f>
        <v>2274836</v>
      </c>
      <c r="AH14" s="110">
        <f>'Anoka Co'!U14</f>
        <v>1293287</v>
      </c>
      <c r="AI14" s="110">
        <f>'Hennepin Co'!U14</f>
        <v>13684098</v>
      </c>
      <c r="AJ14" s="110">
        <f>'Carver Co'!U14</f>
        <v>935607</v>
      </c>
      <c r="AK14" s="110">
        <f>'Wright Co'!U14</f>
        <v>1100146</v>
      </c>
      <c r="AL14" s="110">
        <f>'Polk Co'!U14</f>
        <v>96579</v>
      </c>
      <c r="AM14" s="110">
        <f>'Mower Co'!U14</f>
        <v>236755</v>
      </c>
      <c r="AN14" s="110">
        <f>'Nicollet Co'!U14</f>
        <v>208482</v>
      </c>
      <c r="AO14" s="110">
        <f>'Stearns Co'!U14</f>
        <v>740223</v>
      </c>
      <c r="AP14" s="110">
        <f>'Morrison Co'!U14</f>
        <v>234695</v>
      </c>
      <c r="AQ14" s="110">
        <f>'Kandiyohi Co'!U14</f>
        <v>415172</v>
      </c>
      <c r="AR14" s="110">
        <f>'Dodge Co'!U14</f>
        <v>104379</v>
      </c>
      <c r="AS14" s="110">
        <f>'Goodhue Co'!U14</f>
        <v>362562</v>
      </c>
      <c r="AT14" s="110">
        <f>'Sherburne Co'!U14</f>
        <v>770476</v>
      </c>
      <c r="AU14" s="110">
        <f>'Waseca Co'!U14</f>
        <v>88433</v>
      </c>
      <c r="AV14" s="110">
        <f>'Redwood Co'!U14</f>
        <v>111747</v>
      </c>
      <c r="AW14" s="110">
        <f>'Isanti Co'!U14</f>
        <v>317483</v>
      </c>
      <c r="AX14" s="110">
        <f>'Benton Co'!U14</f>
        <v>305503</v>
      </c>
      <c r="AY14" s="110">
        <f>'McLeod Co'!U14</f>
        <v>269176</v>
      </c>
      <c r="AZ14" s="110">
        <f>'Kanabec Co'!U14</f>
        <v>93448</v>
      </c>
      <c r="BA14" s="110">
        <f>'Nobles Co'!U14</f>
        <v>147156</v>
      </c>
      <c r="BB14" s="110">
        <f>'Le Sueur Co'!U14</f>
        <v>148329</v>
      </c>
      <c r="BC14" s="110">
        <f>'Roseau Co'!U14</f>
        <v>126452</v>
      </c>
      <c r="BD14" s="110">
        <f>'Koochiching Co'!U14</f>
        <v>86615</v>
      </c>
      <c r="BE14" s="110">
        <f>'Norman Co'!U14</f>
        <v>38503</v>
      </c>
      <c r="BF14" s="110">
        <f>'Renville Co'!U14</f>
        <v>76829</v>
      </c>
      <c r="BG14" s="110">
        <f>'Metro Transpo'!U14</f>
        <v>31522</v>
      </c>
      <c r="BH14" s="42">
        <f t="shared" si="0"/>
        <v>42067698</v>
      </c>
    </row>
    <row r="15" spans="1:60" x14ac:dyDescent="0.2">
      <c r="A15">
        <v>2023</v>
      </c>
      <c r="B15" s="26" t="s">
        <v>50</v>
      </c>
      <c r="C15" s="110">
        <f>'Metro Transit'!U15</f>
        <v>-30514</v>
      </c>
      <c r="D15" s="110">
        <f>'Olmsted Co'!U15</f>
        <v>1508638</v>
      </c>
      <c r="E15" s="110">
        <f>'Rice Co'!U15</f>
        <v>349285</v>
      </c>
      <c r="F15" s="110">
        <f>'Wadena Co'!U15</f>
        <v>87745</v>
      </c>
      <c r="G15" s="110">
        <f>'Beltrami Co'!U15</f>
        <v>371079</v>
      </c>
      <c r="H15" s="110">
        <f>'Becker Co'!U15</f>
        <v>272478</v>
      </c>
      <c r="I15" s="110">
        <f>'Douglas Co'!U15</f>
        <v>391100</v>
      </c>
      <c r="J15" s="110">
        <f>'Todd Co'!U15</f>
        <v>98417</v>
      </c>
      <c r="K15" s="110">
        <f>'Fillmore Co'!U15</f>
        <v>106238</v>
      </c>
      <c r="L15" s="110">
        <f>'Carlton Co'!U15</f>
        <v>214117</v>
      </c>
      <c r="M15" s="110">
        <f>'St. Louis Co'!U15</f>
        <v>1663803</v>
      </c>
      <c r="N15" s="110">
        <f>'Steele Co'!U15</f>
        <v>279045</v>
      </c>
      <c r="O15" s="110">
        <f>'Hubbard Co'!U15</f>
        <v>148224</v>
      </c>
      <c r="P15" s="110">
        <f>'Lyon Co'!U15</f>
        <v>0</v>
      </c>
      <c r="Q15" s="110">
        <f>'Scott Co'!U15</f>
        <v>1121819</v>
      </c>
      <c r="R15" s="110">
        <f>'Freeborn Co'!U15</f>
        <v>222652</v>
      </c>
      <c r="S15" s="110">
        <f>'Otter Tail Co'!U15</f>
        <v>437389</v>
      </c>
      <c r="T15" s="110">
        <f>'Cass Co'!U15</f>
        <v>241330</v>
      </c>
      <c r="U15" s="110">
        <f>'Brown Co'!U15</f>
        <v>191739</v>
      </c>
      <c r="V15" s="110">
        <f>'Crow Wing Co'!U15</f>
        <v>751620</v>
      </c>
      <c r="W15" s="110">
        <f>'Wabasha Co'!U15</f>
        <v>99157</v>
      </c>
      <c r="X15" s="110">
        <f>'Chisago Co'!U15</f>
        <v>293247</v>
      </c>
      <c r="Y15" s="110">
        <f>'Blue Earth Co'!U15</f>
        <v>675080</v>
      </c>
      <c r="Z15" s="110">
        <f>'Cook Co'!U15</f>
        <v>101589</v>
      </c>
      <c r="AA15" s="110">
        <f>'Winona Co'!U15</f>
        <v>293790</v>
      </c>
      <c r="AB15" s="110">
        <f>'Pine Co'!U15</f>
        <v>155005</v>
      </c>
      <c r="AC15" s="110">
        <f>'Mille Lacs Co'!U15</f>
        <v>162340</v>
      </c>
      <c r="AD15" s="110">
        <f>'Lake Co'!U15</f>
        <v>98665</v>
      </c>
      <c r="AE15" s="110">
        <f>'Dakota Co'!U15</f>
        <v>1791325</v>
      </c>
      <c r="AF15" s="110">
        <f>'Ramsey Co'!U15</f>
        <v>3939377</v>
      </c>
      <c r="AG15" s="110">
        <f>'Washington Co'!U15</f>
        <v>2082154</v>
      </c>
      <c r="AH15" s="110">
        <f>'Anoka Co'!U15</f>
        <v>1189484</v>
      </c>
      <c r="AI15" s="110">
        <f>'Hennepin Co'!U15</f>
        <v>12358071</v>
      </c>
      <c r="AJ15" s="110">
        <f>'Carver Co'!U15</f>
        <v>794300</v>
      </c>
      <c r="AK15" s="110">
        <f>'Wright Co'!U15</f>
        <v>1048240</v>
      </c>
      <c r="AL15" s="110">
        <f>'Polk Co'!U15</f>
        <v>97643</v>
      </c>
      <c r="AM15" s="110">
        <f>'Mower Co'!U15</f>
        <v>212783</v>
      </c>
      <c r="AN15" s="110">
        <f>'Nicollet Co'!U15</f>
        <v>172071</v>
      </c>
      <c r="AO15" s="110">
        <f>'Stearns Co'!U15</f>
        <v>687704</v>
      </c>
      <c r="AP15" s="110">
        <f>'Morrison Co'!U15</f>
        <v>223148</v>
      </c>
      <c r="AQ15" s="110">
        <f>'Kandiyohi Co'!U15</f>
        <v>379910</v>
      </c>
      <c r="AR15" s="110">
        <f>'Dodge Co'!U15</f>
        <v>103745</v>
      </c>
      <c r="AS15" s="110">
        <f>'Goodhue Co'!U15</f>
        <v>331658</v>
      </c>
      <c r="AT15" s="110">
        <f>'Sherburne Co'!U15</f>
        <v>650973</v>
      </c>
      <c r="AU15" s="110">
        <f>'Waseca Co'!U15</f>
        <v>80537</v>
      </c>
      <c r="AV15" s="110">
        <f>'Redwood Co'!U15</f>
        <v>100356</v>
      </c>
      <c r="AW15" s="110">
        <f>'Isanti Co'!U15</f>
        <v>317492</v>
      </c>
      <c r="AX15" s="110">
        <f>'Benton Co'!U15</f>
        <v>308063</v>
      </c>
      <c r="AY15" s="110">
        <f>'McLeod Co'!U15</f>
        <v>256278</v>
      </c>
      <c r="AZ15" s="110">
        <f>'Kanabec Co'!U15</f>
        <v>79045</v>
      </c>
      <c r="BA15" s="110">
        <f>'Nobles Co'!U15</f>
        <v>131056</v>
      </c>
      <c r="BB15" s="110">
        <f>'Le Sueur Co'!U15</f>
        <v>134840</v>
      </c>
      <c r="BC15" s="110">
        <f>'Roseau Co'!U15</f>
        <v>115454</v>
      </c>
      <c r="BD15" s="110">
        <f>'Koochiching Co'!U15</f>
        <v>60629</v>
      </c>
      <c r="BE15" s="110">
        <f>'Norman Co'!U15</f>
        <v>27918</v>
      </c>
      <c r="BF15" s="110">
        <f>'Renville Co'!U15</f>
        <v>67422</v>
      </c>
      <c r="BG15" s="110">
        <f>'Metro Transpo'!U15</f>
        <v>36727255</v>
      </c>
      <c r="BH15" s="42">
        <f t="shared" si="0"/>
        <v>74774008</v>
      </c>
    </row>
    <row r="16" spans="1:60" x14ac:dyDescent="0.2">
      <c r="A16">
        <v>2023</v>
      </c>
      <c r="B16" s="26" t="s">
        <v>11</v>
      </c>
      <c r="C16" s="110">
        <f>'Metro Transit'!U16</f>
        <v>644</v>
      </c>
      <c r="D16" s="110">
        <f>'Olmsted Co'!U16</f>
        <v>1429181</v>
      </c>
      <c r="E16" s="110">
        <f>'Rice Co'!U16</f>
        <v>386181</v>
      </c>
      <c r="F16" s="110">
        <f>'Wadena Co'!U16</f>
        <v>83794</v>
      </c>
      <c r="G16" s="110">
        <f>'Beltrami Co'!U16</f>
        <v>343258</v>
      </c>
      <c r="H16" s="110">
        <f>'Becker Co'!U16</f>
        <v>275507</v>
      </c>
      <c r="I16" s="110">
        <f>'Douglas Co'!U16</f>
        <v>388517</v>
      </c>
      <c r="J16" s="110">
        <f>'Todd Co'!U16</f>
        <v>99609</v>
      </c>
      <c r="K16" s="110">
        <f>'Fillmore Co'!U16</f>
        <v>98873</v>
      </c>
      <c r="L16" s="110">
        <f>'Carlton Co'!U16</f>
        <v>212138</v>
      </c>
      <c r="M16" s="110">
        <f>'St. Louis Co'!U16</f>
        <v>1497089</v>
      </c>
      <c r="N16" s="110">
        <f>'Steele Co'!U16</f>
        <v>330811</v>
      </c>
      <c r="O16" s="110">
        <f>'Hubbard Co'!U16</f>
        <v>135191</v>
      </c>
      <c r="P16" s="110">
        <f>'Lyon Co'!U16</f>
        <v>-187</v>
      </c>
      <c r="Q16" s="110">
        <f>'Scott Co'!U16</f>
        <v>1100492</v>
      </c>
      <c r="R16" s="110">
        <f>'Freeborn Co'!U16</f>
        <v>204810</v>
      </c>
      <c r="S16" s="110">
        <f>'Otter Tail Co'!U16</f>
        <v>394723</v>
      </c>
      <c r="T16" s="110">
        <f>'Cass Co'!U16</f>
        <v>188092</v>
      </c>
      <c r="U16" s="110">
        <f>'Brown Co'!U16</f>
        <v>196446</v>
      </c>
      <c r="V16" s="110">
        <f>'Crow Wing Co'!U16</f>
        <v>693231</v>
      </c>
      <c r="W16" s="110">
        <f>'Wabasha Co'!U16</f>
        <v>97574</v>
      </c>
      <c r="X16" s="110">
        <f>'Chisago Co'!U16</f>
        <v>267756</v>
      </c>
      <c r="Y16" s="110">
        <f>'Blue Earth Co'!U16</f>
        <v>895215</v>
      </c>
      <c r="Z16" s="110">
        <f>'Cook Co'!U16</f>
        <v>60114</v>
      </c>
      <c r="AA16" s="110">
        <f>'Winona Co'!U16</f>
        <v>293122</v>
      </c>
      <c r="AB16" s="110">
        <f>'Pine Co'!U16</f>
        <v>149746</v>
      </c>
      <c r="AC16" s="110">
        <f>'Mille Lacs Co'!U16</f>
        <v>155752</v>
      </c>
      <c r="AD16" s="110">
        <f>'Lake Co'!U16</f>
        <v>75729</v>
      </c>
      <c r="AE16" s="110">
        <f>'Dakota Co'!U16</f>
        <v>1821721</v>
      </c>
      <c r="AF16" s="110">
        <f>'Ramsey Co'!U16</f>
        <v>4059217</v>
      </c>
      <c r="AG16" s="110">
        <f>'Washington Co'!U16</f>
        <v>2089630</v>
      </c>
      <c r="AH16" s="110">
        <f>'Anoka Co'!U16</f>
        <v>1205799</v>
      </c>
      <c r="AI16" s="110">
        <f>'Hennepin Co'!U16</f>
        <v>12581959</v>
      </c>
      <c r="AJ16" s="110">
        <f>'Carver Co'!U16</f>
        <v>824264</v>
      </c>
      <c r="AK16" s="110">
        <f>'Wright Co'!U16</f>
        <v>1026236</v>
      </c>
      <c r="AL16" s="110">
        <f>'Polk Co'!U16</f>
        <v>86240</v>
      </c>
      <c r="AM16" s="110">
        <f>'Mower Co'!U16</f>
        <v>218118</v>
      </c>
      <c r="AN16" s="110">
        <f>'Nicollet Co'!U16</f>
        <v>169737</v>
      </c>
      <c r="AO16" s="110">
        <f>'Stearns Co'!U16</f>
        <v>686187</v>
      </c>
      <c r="AP16" s="110">
        <f>'Morrison Co'!U16</f>
        <v>205421</v>
      </c>
      <c r="AQ16" s="110">
        <f>'Kandiyohi Co'!U16</f>
        <v>376365</v>
      </c>
      <c r="AR16" s="110">
        <f>'Dodge Co'!U16</f>
        <v>104821</v>
      </c>
      <c r="AS16" s="110">
        <f>'Goodhue Co'!U16</f>
        <v>335575</v>
      </c>
      <c r="AT16" s="110">
        <f>'Sherburne Co'!U16</f>
        <v>626632</v>
      </c>
      <c r="AU16" s="110">
        <f>'Waseca Co'!U16</f>
        <v>87507</v>
      </c>
      <c r="AV16" s="110">
        <f>'Redwood Co'!U16</f>
        <v>98144</v>
      </c>
      <c r="AW16" s="110">
        <f>'Isanti Co'!U16</f>
        <v>304325</v>
      </c>
      <c r="AX16" s="110">
        <f>'Benton Co'!U16</f>
        <v>301965</v>
      </c>
      <c r="AY16" s="110">
        <f>'McLeod Co'!U16</f>
        <v>263114</v>
      </c>
      <c r="AZ16" s="110">
        <f>'Kanabec Co'!U16</f>
        <v>77001</v>
      </c>
      <c r="BA16" s="110">
        <f>'Nobles Co'!U16</f>
        <v>130991</v>
      </c>
      <c r="BB16" s="110">
        <f>'Le Sueur Co'!U16</f>
        <v>139157</v>
      </c>
      <c r="BC16" s="110">
        <f>'Roseau Co'!U16</f>
        <v>97573</v>
      </c>
      <c r="BD16" s="110">
        <f>'Koochiching Co'!U16</f>
        <v>64095</v>
      </c>
      <c r="BE16" s="110">
        <f>'Norman Co'!U16</f>
        <v>29368</v>
      </c>
      <c r="BF16" s="110">
        <f>'Renville Co'!U16</f>
        <v>74964</v>
      </c>
      <c r="BG16" s="110">
        <f>'Metro Transpo'!U16</f>
        <v>38206217</v>
      </c>
      <c r="BH16" s="42">
        <f t="shared" si="0"/>
        <v>76345751</v>
      </c>
    </row>
    <row r="17" spans="1:60" x14ac:dyDescent="0.2">
      <c r="B17" s="25"/>
      <c r="C17" s="73"/>
      <c r="BH17" s="42"/>
    </row>
    <row r="18" spans="1:60" x14ac:dyDescent="0.2">
      <c r="A18">
        <v>2023</v>
      </c>
      <c r="B18" s="26" t="s">
        <v>52</v>
      </c>
      <c r="C18" s="42">
        <f>SUM(C5:C16)</f>
        <v>-101242</v>
      </c>
      <c r="D18" s="42">
        <f t="shared" ref="D18:N18" si="1">SUM(D5:D16)</f>
        <v>17299453</v>
      </c>
      <c r="E18" s="42">
        <f t="shared" si="1"/>
        <v>4699312</v>
      </c>
      <c r="F18" s="42">
        <f t="shared" si="1"/>
        <v>1019471</v>
      </c>
      <c r="G18" s="42">
        <f t="shared" si="1"/>
        <v>4449468</v>
      </c>
      <c r="H18" s="42">
        <f t="shared" si="1"/>
        <v>3636936</v>
      </c>
      <c r="I18" s="42">
        <f t="shared" si="1"/>
        <v>4938909</v>
      </c>
      <c r="J18" s="42">
        <f t="shared" si="1"/>
        <v>1260045</v>
      </c>
      <c r="K18" s="42">
        <f t="shared" si="1"/>
        <v>1330625</v>
      </c>
      <c r="L18" s="42">
        <f t="shared" si="1"/>
        <v>2395667</v>
      </c>
      <c r="M18" s="42">
        <f t="shared" si="1"/>
        <v>19427782</v>
      </c>
      <c r="N18" s="42">
        <f t="shared" si="1"/>
        <v>3726444</v>
      </c>
      <c r="O18" s="42">
        <f t="shared" ref="O18:AR18" si="2">SUM(O5:O16)</f>
        <v>1851256</v>
      </c>
      <c r="P18" s="42">
        <f t="shared" si="2"/>
        <v>647</v>
      </c>
      <c r="Q18" s="42">
        <f t="shared" si="2"/>
        <v>14290180</v>
      </c>
      <c r="R18" s="42">
        <f t="shared" si="2"/>
        <v>2635585</v>
      </c>
      <c r="S18" s="42">
        <f t="shared" si="2"/>
        <v>5181715</v>
      </c>
      <c r="T18" s="42">
        <f t="shared" si="2"/>
        <v>3019087</v>
      </c>
      <c r="U18" s="42">
        <f t="shared" si="2"/>
        <v>2366777</v>
      </c>
      <c r="V18" s="42">
        <f t="shared" si="2"/>
        <v>9508331</v>
      </c>
      <c r="W18" s="42">
        <f t="shared" si="2"/>
        <v>1308291</v>
      </c>
      <c r="X18" s="42">
        <f t="shared" si="2"/>
        <v>3488267</v>
      </c>
      <c r="Y18" s="42">
        <f t="shared" si="2"/>
        <v>8390336</v>
      </c>
      <c r="Z18" s="42">
        <f t="shared" si="2"/>
        <v>1216335</v>
      </c>
      <c r="AA18" s="42">
        <f t="shared" si="2"/>
        <v>3846049</v>
      </c>
      <c r="AB18" s="42">
        <f t="shared" si="2"/>
        <v>1828310</v>
      </c>
      <c r="AC18" s="42">
        <f t="shared" si="2"/>
        <v>1913912</v>
      </c>
      <c r="AD18" s="42">
        <f t="shared" si="2"/>
        <v>1120773</v>
      </c>
      <c r="AE18" s="42">
        <f t="shared" si="2"/>
        <v>21921299</v>
      </c>
      <c r="AF18" s="42">
        <f t="shared" si="2"/>
        <v>49623673</v>
      </c>
      <c r="AG18" s="42">
        <f t="shared" si="2"/>
        <v>26126761</v>
      </c>
      <c r="AH18" s="42">
        <f t="shared" si="2"/>
        <v>14929078</v>
      </c>
      <c r="AI18" s="42">
        <f t="shared" si="2"/>
        <v>154534691</v>
      </c>
      <c r="AJ18" s="42">
        <f t="shared" si="2"/>
        <v>10032485</v>
      </c>
      <c r="AK18" s="42">
        <f t="shared" si="2"/>
        <v>12116354</v>
      </c>
      <c r="AL18" s="42">
        <f t="shared" si="2"/>
        <v>1079043</v>
      </c>
      <c r="AM18" s="42">
        <f t="shared" si="2"/>
        <v>2520364</v>
      </c>
      <c r="AN18" s="42">
        <f t="shared" si="2"/>
        <v>2112485</v>
      </c>
      <c r="AO18" s="42">
        <f t="shared" si="2"/>
        <v>8243793</v>
      </c>
      <c r="AP18" s="42">
        <f t="shared" si="2"/>
        <v>2505433</v>
      </c>
      <c r="AQ18" s="42">
        <f t="shared" si="2"/>
        <v>4459802</v>
      </c>
      <c r="AR18" s="42">
        <f t="shared" si="2"/>
        <v>1140339</v>
      </c>
      <c r="AS18" s="42">
        <f t="shared" ref="AS18:AW18" si="3">SUM(AS5:AS16)</f>
        <v>4077735</v>
      </c>
      <c r="AT18" s="42">
        <f t="shared" si="3"/>
        <v>7884746</v>
      </c>
      <c r="AU18" s="42">
        <f t="shared" si="3"/>
        <v>1008131</v>
      </c>
      <c r="AV18" s="42">
        <f t="shared" si="3"/>
        <v>1215600</v>
      </c>
      <c r="AW18" s="42">
        <f t="shared" si="3"/>
        <v>3348271</v>
      </c>
      <c r="AX18" s="42">
        <f t="shared" ref="AX18:BG18" si="4">SUM(AX5:AX16)</f>
        <v>3705857</v>
      </c>
      <c r="AY18" s="42">
        <f t="shared" si="4"/>
        <v>3053651</v>
      </c>
      <c r="AZ18" s="42">
        <f t="shared" si="4"/>
        <v>945948</v>
      </c>
      <c r="BA18" s="42">
        <f t="shared" si="4"/>
        <v>1591256</v>
      </c>
      <c r="BB18" s="42">
        <f t="shared" si="4"/>
        <v>1624874</v>
      </c>
      <c r="BC18" s="42">
        <f t="shared" si="4"/>
        <v>1253419</v>
      </c>
      <c r="BD18" s="42">
        <f t="shared" si="4"/>
        <v>891002</v>
      </c>
      <c r="BE18" s="42">
        <f t="shared" si="4"/>
        <v>358874</v>
      </c>
      <c r="BF18" s="42">
        <f t="shared" si="4"/>
        <v>716305</v>
      </c>
      <c r="BG18" s="42">
        <f t="shared" si="4"/>
        <v>74964994</v>
      </c>
      <c r="BH18" s="42">
        <f>SUM(C18:BG18)</f>
        <v>544034984</v>
      </c>
    </row>
    <row r="20" spans="1:60" x14ac:dyDescent="0.2">
      <c r="BG20" s="119" t="s">
        <v>526</v>
      </c>
      <c r="BH20" s="10" t="s">
        <v>53</v>
      </c>
    </row>
    <row r="21" spans="1:60" x14ac:dyDescent="0.2">
      <c r="B21" s="33" t="s">
        <v>157</v>
      </c>
      <c r="C21" s="119" t="s">
        <v>239</v>
      </c>
      <c r="D21" s="119" t="s">
        <v>238</v>
      </c>
      <c r="E21" s="89" t="s">
        <v>237</v>
      </c>
      <c r="F21" s="119" t="s">
        <v>236</v>
      </c>
      <c r="G21" s="119" t="s">
        <v>235</v>
      </c>
      <c r="H21" s="119" t="s">
        <v>234</v>
      </c>
      <c r="I21" s="119" t="s">
        <v>233</v>
      </c>
      <c r="J21" s="119" t="s">
        <v>232</v>
      </c>
      <c r="K21" s="119" t="s">
        <v>231</v>
      </c>
      <c r="L21" s="119" t="s">
        <v>230</v>
      </c>
      <c r="M21" s="119" t="s">
        <v>229</v>
      </c>
      <c r="N21" s="119" t="s">
        <v>228</v>
      </c>
      <c r="O21" s="119" t="s">
        <v>227</v>
      </c>
      <c r="P21" s="119" t="s">
        <v>226</v>
      </c>
      <c r="Q21" s="119" t="s">
        <v>225</v>
      </c>
      <c r="R21" s="119" t="s">
        <v>224</v>
      </c>
      <c r="S21" s="119" t="s">
        <v>223</v>
      </c>
      <c r="T21" s="119" t="s">
        <v>241</v>
      </c>
      <c r="U21" s="119" t="s">
        <v>240</v>
      </c>
      <c r="V21" s="119" t="s">
        <v>243</v>
      </c>
      <c r="W21" s="119" t="s">
        <v>244</v>
      </c>
      <c r="X21" s="119" t="s">
        <v>242</v>
      </c>
      <c r="Y21" s="119" t="s">
        <v>222</v>
      </c>
      <c r="Z21" s="119" t="s">
        <v>123</v>
      </c>
      <c r="AA21" s="119" t="s">
        <v>109</v>
      </c>
      <c r="AB21" s="119" t="s">
        <v>282</v>
      </c>
      <c r="AC21" s="119" t="s">
        <v>281</v>
      </c>
      <c r="AD21" s="119" t="s">
        <v>283</v>
      </c>
      <c r="AE21" s="119" t="s">
        <v>303</v>
      </c>
      <c r="AF21" s="119" t="s">
        <v>293</v>
      </c>
      <c r="AG21" s="119" t="s">
        <v>304</v>
      </c>
      <c r="AH21" s="119" t="s">
        <v>287</v>
      </c>
      <c r="AI21" s="119" t="s">
        <v>79</v>
      </c>
      <c r="AJ21" s="119" t="s">
        <v>305</v>
      </c>
      <c r="AK21" s="119" t="s">
        <v>307</v>
      </c>
      <c r="AL21" s="119" t="s">
        <v>327</v>
      </c>
      <c r="AM21" s="119" t="s">
        <v>328</v>
      </c>
      <c r="AN21" s="119" t="s">
        <v>329</v>
      </c>
      <c r="AO21" s="119" t="s">
        <v>330</v>
      </c>
      <c r="AP21" s="119" t="s">
        <v>331</v>
      </c>
      <c r="AQ21" s="119" t="s">
        <v>349</v>
      </c>
      <c r="AR21" s="119" t="s">
        <v>360</v>
      </c>
      <c r="AS21" s="119" t="s">
        <v>358</v>
      </c>
      <c r="AT21" s="119" t="s">
        <v>359</v>
      </c>
      <c r="AU21" s="119" t="s">
        <v>365</v>
      </c>
      <c r="AV21" s="119" t="s">
        <v>363</v>
      </c>
      <c r="AW21" s="119" t="s">
        <v>369</v>
      </c>
      <c r="AX21" s="119" t="s">
        <v>397</v>
      </c>
      <c r="AY21" s="119" t="s">
        <v>421</v>
      </c>
      <c r="AZ21" s="119" t="s">
        <v>422</v>
      </c>
      <c r="BA21" s="119" t="s">
        <v>450</v>
      </c>
      <c r="BB21" s="119" t="s">
        <v>456</v>
      </c>
      <c r="BC21" s="119" t="s">
        <v>462</v>
      </c>
      <c r="BD21" s="119" t="s">
        <v>465</v>
      </c>
      <c r="BE21" s="119" t="s">
        <v>472</v>
      </c>
      <c r="BF21" s="119" t="s">
        <v>476</v>
      </c>
      <c r="BG21" s="119" t="s">
        <v>527</v>
      </c>
      <c r="BH21" s="120" t="s">
        <v>54</v>
      </c>
    </row>
    <row r="22" spans="1:60" x14ac:dyDescent="0.2"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16"/>
    </row>
    <row r="23" spans="1:60" x14ac:dyDescent="0.2">
      <c r="A23">
        <v>2023</v>
      </c>
      <c r="B23" s="26" t="s">
        <v>51</v>
      </c>
      <c r="C23" s="110">
        <f>'Metro Transit'!U24</f>
        <v>-1477</v>
      </c>
      <c r="D23" s="110">
        <f>'Olmsted Co'!U24</f>
        <v>156657</v>
      </c>
      <c r="E23" s="110">
        <f>'Rice Co'!U24</f>
        <v>20141</v>
      </c>
      <c r="F23" s="110">
        <f>'Wadena Co'!U24</f>
        <v>3645</v>
      </c>
      <c r="G23" s="110">
        <f>'Beltrami Co'!U24</f>
        <v>12075</v>
      </c>
      <c r="H23" s="110">
        <f>'Becker Co'!U24</f>
        <v>13590</v>
      </c>
      <c r="I23" s="110">
        <f>'Douglas Co'!U24</f>
        <v>25938</v>
      </c>
      <c r="J23" s="110">
        <f>'Todd Co'!U24</f>
        <v>3784</v>
      </c>
      <c r="K23" s="110">
        <f>'Fillmore Co'!U24</f>
        <v>16327</v>
      </c>
      <c r="L23" s="110">
        <f>'Carlton Co'!U24</f>
        <v>28063</v>
      </c>
      <c r="M23" s="110">
        <f>'St. Louis Co'!U24</f>
        <v>202591</v>
      </c>
      <c r="N23" s="110">
        <f>'Steele Co'!U24</f>
        <v>11012</v>
      </c>
      <c r="O23" s="110">
        <f>'Hubbard Co'!U24</f>
        <v>7398</v>
      </c>
      <c r="P23" s="110">
        <f>'Lyon Co'!U24</f>
        <v>0</v>
      </c>
      <c r="Q23" s="110">
        <f>'Scott Co'!U24</f>
        <v>85818</v>
      </c>
      <c r="R23" s="110">
        <f>'Freeborn Co'!U24</f>
        <v>23157</v>
      </c>
      <c r="S23" s="110">
        <f>'Otter Tail Co'!U24</f>
        <v>42346</v>
      </c>
      <c r="T23" s="110">
        <f>'Cass Co'!U24</f>
        <v>9556</v>
      </c>
      <c r="U23" s="110">
        <f>'Brown Co'!U24</f>
        <v>13870</v>
      </c>
      <c r="V23" s="110">
        <f>'Crow Wing Co'!U24</f>
        <v>26835</v>
      </c>
      <c r="W23" s="110">
        <f>'Wabasha Co'!U24</f>
        <v>17632</v>
      </c>
      <c r="X23" s="110">
        <f>'Chisago Co'!U24</f>
        <v>19214</v>
      </c>
      <c r="Y23" s="110">
        <f>'Blue Earth Co'!U24</f>
        <v>37585</v>
      </c>
      <c r="Z23" s="110">
        <f>'Cook Co'!U24</f>
        <v>2071</v>
      </c>
      <c r="AA23" s="110">
        <f>'Winona Co'!U24</f>
        <v>24049</v>
      </c>
      <c r="AB23" s="110">
        <f>'Pine Co'!U24</f>
        <v>7485</v>
      </c>
      <c r="AC23" s="110">
        <f>'Mille Lacs Co'!U24</f>
        <v>9637</v>
      </c>
      <c r="AD23" s="110">
        <f>'Lake Co'!U24</f>
        <v>12923</v>
      </c>
      <c r="AE23" s="110">
        <f>'Dakota Co'!U24</f>
        <v>106662</v>
      </c>
      <c r="AF23" s="110">
        <f>'Ramsey Co'!U24</f>
        <v>435698</v>
      </c>
      <c r="AG23" s="110">
        <f>'Washington Co'!U24</f>
        <v>235050</v>
      </c>
      <c r="AH23" s="110">
        <f>'Anoka Co'!U24</f>
        <v>66668</v>
      </c>
      <c r="AI23" s="110">
        <f>'Hennepin Co'!U24</f>
        <v>983945</v>
      </c>
      <c r="AJ23" s="110">
        <f>'Carver Co'!U24</f>
        <v>53719</v>
      </c>
      <c r="AK23" s="110">
        <f>'Wright Co'!U24</f>
        <v>85427</v>
      </c>
      <c r="AL23" s="110">
        <f>'Polk Co'!U24</f>
        <v>7495</v>
      </c>
      <c r="AM23" s="110">
        <f>'Mower Co'!U24</f>
        <v>8994</v>
      </c>
      <c r="AN23" s="110">
        <f>'Nicollet Co'!U24</f>
        <v>8087</v>
      </c>
      <c r="AO23" s="110">
        <f>'Stearns Co'!U24</f>
        <v>40903</v>
      </c>
      <c r="AP23" s="110">
        <f>'Morrison Co'!U24</f>
        <v>10216</v>
      </c>
      <c r="AQ23" s="110">
        <f>'Kandiyohi Co'!U24</f>
        <v>18471</v>
      </c>
      <c r="AR23" s="110">
        <f>'Dodge Co'!U24</f>
        <v>5927</v>
      </c>
      <c r="AS23" s="110">
        <f>'Goodhue Co'!U24</f>
        <v>42284</v>
      </c>
      <c r="AT23" s="110">
        <f>'Sherburne Co'!U24</f>
        <v>32675</v>
      </c>
      <c r="AU23" s="110">
        <f>'Waseca Co'!U24</f>
        <v>6003</v>
      </c>
      <c r="AV23" s="110">
        <f>'Redwood Co'!U24</f>
        <v>3760</v>
      </c>
      <c r="AW23" s="110">
        <f>'Isanti Co'!U24</f>
        <v>9206</v>
      </c>
      <c r="AX23" s="110">
        <f>'Benton Co'!U24</f>
        <v>18081</v>
      </c>
      <c r="AY23" s="110">
        <f>'McLeod Co'!U24</f>
        <v>18280</v>
      </c>
      <c r="AZ23" s="110">
        <f>'Kanabec Co'!U24</f>
        <v>6550</v>
      </c>
      <c r="BA23" s="110">
        <f>'Nobles Co'!U24</f>
        <v>9278</v>
      </c>
      <c r="BB23" s="110">
        <f>'Le Sueur Co'!U24</f>
        <v>5675</v>
      </c>
      <c r="BC23" s="110">
        <f>'Roseau Co'!U24</f>
        <v>2476</v>
      </c>
      <c r="BD23" s="110">
        <f>'Koochiching Co'!U24</f>
        <v>8323</v>
      </c>
      <c r="BE23" s="110">
        <f>'Norman Co'!U24</f>
        <v>8484</v>
      </c>
      <c r="BF23" s="110">
        <f>'Renville Co'!U24</f>
        <v>0</v>
      </c>
      <c r="BG23" s="110">
        <f>'Metro Transpo'!U24</f>
        <v>0</v>
      </c>
      <c r="BH23" s="42">
        <f>SUM(C23:BG23)</f>
        <v>3070259</v>
      </c>
    </row>
    <row r="24" spans="1:60" x14ac:dyDescent="0.2">
      <c r="A24">
        <v>2023</v>
      </c>
      <c r="B24" s="26" t="s">
        <v>1</v>
      </c>
      <c r="C24" s="110">
        <f>'Metro Transit'!U25</f>
        <v>-855</v>
      </c>
      <c r="D24" s="110">
        <f>'Olmsted Co'!U25</f>
        <v>93416</v>
      </c>
      <c r="E24" s="110">
        <f>'Rice Co'!U25</f>
        <v>16530</v>
      </c>
      <c r="F24" s="110">
        <f>'Wadena Co'!U25</f>
        <v>5585</v>
      </c>
      <c r="G24" s="110">
        <f>'Beltrami Co'!U25</f>
        <v>15524</v>
      </c>
      <c r="H24" s="110">
        <f>'Becker Co'!U25</f>
        <v>9696</v>
      </c>
      <c r="I24" s="110">
        <f>'Douglas Co'!U25</f>
        <v>11883</v>
      </c>
      <c r="J24" s="110">
        <f>'Todd Co'!U25</f>
        <v>2522</v>
      </c>
      <c r="K24" s="110">
        <f>'Fillmore Co'!U25</f>
        <v>8772</v>
      </c>
      <c r="L24" s="110">
        <f>'Carlton Co'!U25</f>
        <v>19835</v>
      </c>
      <c r="M24" s="110">
        <f>'St. Louis Co'!U25</f>
        <v>116187</v>
      </c>
      <c r="N24" s="110">
        <f>'Steele Co'!U25</f>
        <v>15559</v>
      </c>
      <c r="O24" s="110">
        <f>'Hubbard Co'!U25</f>
        <v>4148</v>
      </c>
      <c r="P24" s="110">
        <f>'Lyon Co'!U25</f>
        <v>181</v>
      </c>
      <c r="Q24" s="110">
        <f>'Scott Co'!U25</f>
        <v>52951</v>
      </c>
      <c r="R24" s="110">
        <f>'Freeborn Co'!U25</f>
        <v>10137</v>
      </c>
      <c r="S24" s="110">
        <f>'Otter Tail Co'!U25</f>
        <v>25506</v>
      </c>
      <c r="T24" s="110">
        <f>'Cass Co'!U25</f>
        <v>6221</v>
      </c>
      <c r="U24" s="110">
        <f>'Brown Co'!U25</f>
        <v>10861</v>
      </c>
      <c r="V24" s="110">
        <f>'Crow Wing Co'!U25</f>
        <v>22273</v>
      </c>
      <c r="W24" s="110">
        <f>'Wabasha Co'!U25</f>
        <v>10014</v>
      </c>
      <c r="X24" s="110">
        <f>'Chisago Co'!U25</f>
        <v>12425</v>
      </c>
      <c r="Y24" s="110">
        <f>'Blue Earth Co'!U25</f>
        <v>30007</v>
      </c>
      <c r="Z24" s="110">
        <f>'Cook Co'!U25</f>
        <v>2604</v>
      </c>
      <c r="AA24" s="110">
        <f>'Winona Co'!U25</f>
        <v>17746</v>
      </c>
      <c r="AB24" s="110">
        <f>'Pine Co'!U25</f>
        <v>4327</v>
      </c>
      <c r="AC24" s="110">
        <f>'Mille Lacs Co'!U25</f>
        <v>3777</v>
      </c>
      <c r="AD24" s="110">
        <f>'Lake Co'!U25</f>
        <v>8596</v>
      </c>
      <c r="AE24" s="110">
        <f>'Dakota Co'!U25</f>
        <v>90706</v>
      </c>
      <c r="AF24" s="110">
        <f>'Ramsey Co'!U25</f>
        <v>475431</v>
      </c>
      <c r="AG24" s="110">
        <f>'Washington Co'!U25</f>
        <v>127776</v>
      </c>
      <c r="AH24" s="110">
        <f>'Anoka Co'!U25</f>
        <v>49839</v>
      </c>
      <c r="AI24" s="110">
        <f>'Hennepin Co'!U25</f>
        <v>744124</v>
      </c>
      <c r="AJ24" s="110">
        <f>'Carver Co'!U25</f>
        <v>55773</v>
      </c>
      <c r="AK24" s="110">
        <f>'Wright Co'!U25</f>
        <v>22136</v>
      </c>
      <c r="AL24" s="110">
        <f>'Polk Co'!U25</f>
        <v>4218</v>
      </c>
      <c r="AM24" s="110">
        <f>'Mower Co'!U25</f>
        <v>5824</v>
      </c>
      <c r="AN24" s="110">
        <f>'Nicollet Co'!U25</f>
        <v>5019</v>
      </c>
      <c r="AO24" s="110">
        <f>'Stearns Co'!U25</f>
        <v>36396</v>
      </c>
      <c r="AP24" s="110">
        <f>'Morrison Co'!U25</f>
        <v>11693</v>
      </c>
      <c r="AQ24" s="110">
        <f>'Kandiyohi Co'!U25</f>
        <v>27358</v>
      </c>
      <c r="AR24" s="110">
        <f>'Dodge Co'!U25</f>
        <v>6622</v>
      </c>
      <c r="AS24" s="110">
        <f>'Goodhue Co'!U25</f>
        <v>27775</v>
      </c>
      <c r="AT24" s="110">
        <f>'Sherburne Co'!U25</f>
        <v>93033</v>
      </c>
      <c r="AU24" s="110">
        <f>'Waseca Co'!U25</f>
        <v>4383</v>
      </c>
      <c r="AV24" s="110">
        <f>'Redwood Co'!U25</f>
        <v>2195</v>
      </c>
      <c r="AW24" s="110">
        <f>'Isanti Co'!U25</f>
        <v>4915</v>
      </c>
      <c r="AX24" s="110">
        <f>'Benton Co'!U25</f>
        <v>27076</v>
      </c>
      <c r="AY24" s="110">
        <f>'McLeod Co'!U25</f>
        <v>14351</v>
      </c>
      <c r="AZ24" s="110">
        <f>'Kanabec Co'!U25</f>
        <v>5590</v>
      </c>
      <c r="BA24" s="110">
        <f>'Nobles Co'!U25</f>
        <v>34941</v>
      </c>
      <c r="BB24" s="110">
        <f>'Le Sueur Co'!U25</f>
        <v>5224</v>
      </c>
      <c r="BC24" s="110">
        <f>'Roseau Co'!U25</f>
        <v>4490</v>
      </c>
      <c r="BD24" s="110">
        <f>'Koochiching Co'!U25</f>
        <v>3446</v>
      </c>
      <c r="BE24" s="110">
        <f>'Norman Co'!U25</f>
        <v>1464</v>
      </c>
      <c r="BF24" s="110">
        <f>'Renville Co'!U25</f>
        <v>840</v>
      </c>
      <c r="BG24" s="110">
        <f>'Metro Transpo'!U25</f>
        <v>0</v>
      </c>
      <c r="BH24" s="42">
        <f t="shared" ref="BH24:BH34" si="5">SUM(C24:BG24)</f>
        <v>2429066</v>
      </c>
    </row>
    <row r="25" spans="1:60" x14ac:dyDescent="0.2">
      <c r="A25">
        <v>2023</v>
      </c>
      <c r="B25" s="26" t="s">
        <v>2</v>
      </c>
      <c r="C25" s="110">
        <f>'Metro Transit'!U26</f>
        <v>-320865</v>
      </c>
      <c r="D25" s="110">
        <f>'Olmsted Co'!U26</f>
        <v>100650</v>
      </c>
      <c r="E25" s="110">
        <f>'Rice Co'!U26</f>
        <v>11840</v>
      </c>
      <c r="F25" s="110">
        <f>'Wadena Co'!U26</f>
        <v>4688</v>
      </c>
      <c r="G25" s="110">
        <f>'Beltrami Co'!U26</f>
        <v>8526</v>
      </c>
      <c r="H25" s="110">
        <f>'Becker Co'!U26</f>
        <v>9584</v>
      </c>
      <c r="I25" s="110">
        <f>'Douglas Co'!U26</f>
        <v>10723</v>
      </c>
      <c r="J25" s="110">
        <f>'Todd Co'!U26</f>
        <v>2674</v>
      </c>
      <c r="K25" s="110">
        <f>'Fillmore Co'!U26</f>
        <v>7680</v>
      </c>
      <c r="L25" s="110">
        <f>'Carlton Co'!U26</f>
        <v>18415</v>
      </c>
      <c r="M25" s="110">
        <f>'St. Louis Co'!U26</f>
        <v>125054</v>
      </c>
      <c r="N25" s="110">
        <f>'Steele Co'!U26</f>
        <v>14121</v>
      </c>
      <c r="O25" s="110">
        <f>'Hubbard Co'!U26</f>
        <v>7320</v>
      </c>
      <c r="P25" s="110">
        <f>'Lyon Co'!U26</f>
        <v>0</v>
      </c>
      <c r="Q25" s="110">
        <f>'Scott Co'!U26</f>
        <v>41321</v>
      </c>
      <c r="R25" s="110">
        <f>'Freeborn Co'!U26</f>
        <v>6141</v>
      </c>
      <c r="S25" s="110">
        <f>'Otter Tail Co'!U26</f>
        <v>34862</v>
      </c>
      <c r="T25" s="110">
        <f>'Cass Co'!U26</f>
        <v>2276</v>
      </c>
      <c r="U25" s="110">
        <f>'Brown Co'!U26</f>
        <v>5136</v>
      </c>
      <c r="V25" s="110">
        <f>'Crow Wing Co'!U26</f>
        <v>26271</v>
      </c>
      <c r="W25" s="110">
        <f>'Wabasha Co'!U26</f>
        <v>10794</v>
      </c>
      <c r="X25" s="110">
        <f>'Chisago Co'!U26</f>
        <v>11959</v>
      </c>
      <c r="Y25" s="110">
        <f>'Blue Earth Co'!U26</f>
        <v>26617</v>
      </c>
      <c r="Z25" s="110">
        <f>'Cook Co'!U26</f>
        <v>1376</v>
      </c>
      <c r="AA25" s="110">
        <f>'Winona Co'!U26</f>
        <v>17567</v>
      </c>
      <c r="AB25" s="110">
        <f>'Pine Co'!U26</f>
        <v>4274</v>
      </c>
      <c r="AC25" s="110">
        <f>'Mille Lacs Co'!U26</f>
        <v>4932</v>
      </c>
      <c r="AD25" s="110">
        <f>'Lake Co'!U26</f>
        <v>11698</v>
      </c>
      <c r="AE25" s="110">
        <f>'Dakota Co'!U26</f>
        <v>93522</v>
      </c>
      <c r="AF25" s="110">
        <f>'Ramsey Co'!U26</f>
        <v>305355</v>
      </c>
      <c r="AG25" s="110">
        <f>'Washington Co'!U26</f>
        <v>157397</v>
      </c>
      <c r="AH25" s="110">
        <f>'Anoka Co'!U26</f>
        <v>59823</v>
      </c>
      <c r="AI25" s="110">
        <f>'Hennepin Co'!U26</f>
        <v>763730</v>
      </c>
      <c r="AJ25" s="110">
        <f>'Carver Co'!U26</f>
        <v>44903</v>
      </c>
      <c r="AK25" s="110">
        <f>'Wright Co'!U26</f>
        <v>25949</v>
      </c>
      <c r="AL25" s="110">
        <f>'Polk Co'!U26</f>
        <v>3874</v>
      </c>
      <c r="AM25" s="110">
        <f>'Mower Co'!U26</f>
        <v>4424</v>
      </c>
      <c r="AN25" s="110">
        <f>'Nicollet Co'!U26</f>
        <v>5004</v>
      </c>
      <c r="AO25" s="110">
        <f>'Stearns Co'!U26</f>
        <v>31401</v>
      </c>
      <c r="AP25" s="110">
        <f>'Morrison Co'!U26</f>
        <v>5953</v>
      </c>
      <c r="AQ25" s="110">
        <f>'Kandiyohi Co'!U26</f>
        <v>14237</v>
      </c>
      <c r="AR25" s="110">
        <f>'Dodge Co'!U26</f>
        <v>3730</v>
      </c>
      <c r="AS25" s="110">
        <f>'Goodhue Co'!U26</f>
        <v>24246</v>
      </c>
      <c r="AT25" s="110">
        <f>'Sherburne Co'!U26</f>
        <v>25103</v>
      </c>
      <c r="AU25" s="110">
        <f>'Waseca Co'!U26</f>
        <v>2088</v>
      </c>
      <c r="AV25" s="110">
        <f>'Redwood Co'!U26</f>
        <v>2483</v>
      </c>
      <c r="AW25" s="110">
        <f>'Isanti Co'!U26</f>
        <v>5220</v>
      </c>
      <c r="AX25" s="110">
        <f>'Benton Co'!U26</f>
        <v>11629</v>
      </c>
      <c r="AY25" s="110">
        <f>'McLeod Co'!U26</f>
        <v>12942</v>
      </c>
      <c r="AZ25" s="110">
        <f>'Kanabec Co'!U26</f>
        <v>2171</v>
      </c>
      <c r="BA25" s="110">
        <f>'Nobles Co'!U26</f>
        <v>30387</v>
      </c>
      <c r="BB25" s="110">
        <f>'Le Sueur Co'!U26</f>
        <v>3834</v>
      </c>
      <c r="BC25" s="110">
        <f>'Roseau Co'!U26</f>
        <v>1868</v>
      </c>
      <c r="BD25" s="110">
        <f>'Koochiching Co'!U26</f>
        <v>4285</v>
      </c>
      <c r="BE25" s="110">
        <f>'Norman Co'!U26</f>
        <v>3393</v>
      </c>
      <c r="BF25" s="110">
        <f>'Renville Co'!U26</f>
        <v>5031</v>
      </c>
      <c r="BG25" s="110">
        <f>'Metro Transpo'!U26</f>
        <v>0</v>
      </c>
      <c r="BH25" s="42">
        <f t="shared" si="5"/>
        <v>1859616</v>
      </c>
    </row>
    <row r="26" spans="1:60" x14ac:dyDescent="0.2">
      <c r="A26">
        <v>2023</v>
      </c>
      <c r="B26" s="26" t="s">
        <v>3</v>
      </c>
      <c r="C26" s="110">
        <f>'Metro Transit'!U27</f>
        <v>47</v>
      </c>
      <c r="D26" s="110">
        <f>'Olmsted Co'!U27</f>
        <v>139717</v>
      </c>
      <c r="E26" s="110">
        <f>'Rice Co'!U27</f>
        <v>16761</v>
      </c>
      <c r="F26" s="110">
        <f>'Wadena Co'!U27</f>
        <v>3352</v>
      </c>
      <c r="G26" s="110">
        <f>'Beltrami Co'!U27</f>
        <v>23548</v>
      </c>
      <c r="H26" s="110">
        <f>'Becker Co'!U27</f>
        <v>11185</v>
      </c>
      <c r="I26" s="110">
        <f>'Douglas Co'!U27</f>
        <v>13103</v>
      </c>
      <c r="J26" s="110">
        <f>'Todd Co'!U27</f>
        <v>3933</v>
      </c>
      <c r="K26" s="110">
        <f>'Fillmore Co'!U27</f>
        <v>7404</v>
      </c>
      <c r="L26" s="110">
        <f>'Carlton Co'!U27</f>
        <v>18509</v>
      </c>
      <c r="M26" s="110">
        <f>'St. Louis Co'!U27</f>
        <v>169805</v>
      </c>
      <c r="N26" s="110">
        <f>'Steele Co'!U27</f>
        <v>14751</v>
      </c>
      <c r="O26" s="110">
        <f>'Hubbard Co'!U27</f>
        <v>6150</v>
      </c>
      <c r="P26" s="110">
        <f>'Lyon Co'!U27</f>
        <v>0</v>
      </c>
      <c r="Q26" s="110">
        <f>'Scott Co'!U27</f>
        <v>87680</v>
      </c>
      <c r="R26" s="110">
        <f>'Freeborn Co'!U27</f>
        <v>8414</v>
      </c>
      <c r="S26" s="110">
        <f>'Otter Tail Co'!U27</f>
        <v>23846</v>
      </c>
      <c r="T26" s="110">
        <f>'Cass Co'!U27</f>
        <v>3965</v>
      </c>
      <c r="U26" s="110">
        <f>'Brown Co'!U27</f>
        <v>15108</v>
      </c>
      <c r="V26" s="110">
        <f>'Crow Wing Co'!U27</f>
        <v>25131</v>
      </c>
      <c r="W26" s="110">
        <f>'Wabasha Co'!U27</f>
        <v>13761</v>
      </c>
      <c r="X26" s="110">
        <f>'Chisago Co'!U27</f>
        <v>9882</v>
      </c>
      <c r="Y26" s="110">
        <f>'Blue Earth Co'!U27</f>
        <v>29282</v>
      </c>
      <c r="Z26" s="110">
        <f>'Cook Co'!U27</f>
        <v>1615</v>
      </c>
      <c r="AA26" s="110">
        <f>'Winona Co'!U27</f>
        <v>18909</v>
      </c>
      <c r="AB26" s="110">
        <f>'Pine Co'!U27</f>
        <v>6090</v>
      </c>
      <c r="AC26" s="110">
        <f>'Mille Lacs Co'!U27</f>
        <v>4507</v>
      </c>
      <c r="AD26" s="110">
        <f>'Lake Co'!U27</f>
        <v>12643</v>
      </c>
      <c r="AE26" s="110">
        <f>'Dakota Co'!U27</f>
        <v>112169</v>
      </c>
      <c r="AF26" s="110">
        <f>'Ramsey Co'!U27</f>
        <v>356088</v>
      </c>
      <c r="AG26" s="110">
        <f>'Washington Co'!U27</f>
        <v>152783</v>
      </c>
      <c r="AH26" s="110">
        <f>'Anoka Co'!U27</f>
        <v>55167</v>
      </c>
      <c r="AI26" s="110">
        <f>'Hennepin Co'!U27</f>
        <v>884517</v>
      </c>
      <c r="AJ26" s="110">
        <f>'Carver Co'!U27</f>
        <v>56786</v>
      </c>
      <c r="AK26" s="110">
        <f>'Wright Co'!U27</f>
        <v>47511</v>
      </c>
      <c r="AL26" s="110">
        <f>'Polk Co'!U27</f>
        <v>4369</v>
      </c>
      <c r="AM26" s="110">
        <f>'Mower Co'!U27</f>
        <v>7089</v>
      </c>
      <c r="AN26" s="110">
        <f>'Nicollet Co'!U27</f>
        <v>5882</v>
      </c>
      <c r="AO26" s="110">
        <f>'Stearns Co'!U27</f>
        <v>44701</v>
      </c>
      <c r="AP26" s="110">
        <f>'Morrison Co'!U27</f>
        <v>13832</v>
      </c>
      <c r="AQ26" s="110">
        <f>'Kandiyohi Co'!U27</f>
        <v>16272</v>
      </c>
      <c r="AR26" s="110">
        <f>'Dodge Co'!U27</f>
        <v>4970</v>
      </c>
      <c r="AS26" s="110">
        <f>'Goodhue Co'!U27</f>
        <v>27783</v>
      </c>
      <c r="AT26" s="110">
        <f>'Sherburne Co'!U27</f>
        <v>38319</v>
      </c>
      <c r="AU26" s="110">
        <f>'Waseca Co'!U27</f>
        <v>4283</v>
      </c>
      <c r="AV26" s="110">
        <f>'Redwood Co'!U27</f>
        <v>3935</v>
      </c>
      <c r="AW26" s="110">
        <f>'Isanti Co'!U27</f>
        <v>5856</v>
      </c>
      <c r="AX26" s="110">
        <f>'Benton Co'!U27</f>
        <v>19367</v>
      </c>
      <c r="AY26" s="110">
        <f>'McLeod Co'!U27</f>
        <v>16934</v>
      </c>
      <c r="AZ26" s="110">
        <f>'Kanabec Co'!U27</f>
        <v>4918</v>
      </c>
      <c r="BA26" s="110">
        <f>'Nobles Co'!U27</f>
        <v>12070</v>
      </c>
      <c r="BB26" s="110">
        <f>'Le Sueur Co'!U27</f>
        <v>5863</v>
      </c>
      <c r="BC26" s="110">
        <f>'Roseau Co'!U27</f>
        <v>4342</v>
      </c>
      <c r="BD26" s="110">
        <f>'Koochiching Co'!U27</f>
        <v>7567</v>
      </c>
      <c r="BE26" s="110">
        <f>'Norman Co'!U27</f>
        <v>2382</v>
      </c>
      <c r="BF26" s="110">
        <f>'Renville Co'!U27</f>
        <v>2272</v>
      </c>
      <c r="BG26" s="110">
        <f>'Metro Transpo'!U27</f>
        <v>0</v>
      </c>
      <c r="BH26" s="42">
        <f t="shared" si="5"/>
        <v>2607125</v>
      </c>
    </row>
    <row r="27" spans="1:60" x14ac:dyDescent="0.2">
      <c r="A27">
        <v>2023</v>
      </c>
      <c r="B27" s="26" t="s">
        <v>4</v>
      </c>
      <c r="C27" s="110">
        <f>'Metro Transit'!U28</f>
        <v>212</v>
      </c>
      <c r="D27" s="110">
        <f>'Olmsted Co'!U28</f>
        <v>60209</v>
      </c>
      <c r="E27" s="110">
        <f>'Rice Co'!U28</f>
        <v>17527</v>
      </c>
      <c r="F27" s="110">
        <f>'Wadena Co'!U28</f>
        <v>4158</v>
      </c>
      <c r="G27" s="110">
        <f>'Beltrami Co'!U28</f>
        <v>9107</v>
      </c>
      <c r="H27" s="110">
        <f>'Becker Co'!U28</f>
        <v>8952</v>
      </c>
      <c r="I27" s="110">
        <f>'Douglas Co'!U28</f>
        <v>3920</v>
      </c>
      <c r="J27" s="110">
        <f>'Todd Co'!U28</f>
        <v>3803</v>
      </c>
      <c r="K27" s="110">
        <f>'Fillmore Co'!U28</f>
        <v>9054</v>
      </c>
      <c r="L27" s="110">
        <f>'Carlton Co'!U28</f>
        <v>15023</v>
      </c>
      <c r="M27" s="110">
        <f>'St. Louis Co'!U28</f>
        <v>140519</v>
      </c>
      <c r="N27" s="110">
        <f>'Steele Co'!U28</f>
        <v>16667</v>
      </c>
      <c r="O27" s="110">
        <f>'Hubbard Co'!U28</f>
        <v>4526</v>
      </c>
      <c r="P27" s="110">
        <f>'Lyon Co'!U28</f>
        <v>47</v>
      </c>
      <c r="Q27" s="110">
        <f>'Scott Co'!U28</f>
        <v>49436</v>
      </c>
      <c r="R27" s="110">
        <f>'Freeborn Co'!U28</f>
        <v>6899</v>
      </c>
      <c r="S27" s="110">
        <f>'Otter Tail Co'!U28</f>
        <v>46605</v>
      </c>
      <c r="T27" s="110">
        <f>'Cass Co'!U28</f>
        <v>2835</v>
      </c>
      <c r="U27" s="110">
        <f>'Brown Co'!U28</f>
        <v>12938</v>
      </c>
      <c r="V27" s="110">
        <f>'Crow Wing Co'!U28</f>
        <v>15292</v>
      </c>
      <c r="W27" s="110">
        <f>'Wabasha Co'!U28</f>
        <v>13814</v>
      </c>
      <c r="X27" s="110">
        <f>'Chisago Co'!U28</f>
        <v>6690</v>
      </c>
      <c r="Y27" s="110">
        <f>'Blue Earth Co'!U28</f>
        <v>29129</v>
      </c>
      <c r="Z27" s="110">
        <f>'Cook Co'!U28</f>
        <v>1033</v>
      </c>
      <c r="AA27" s="110">
        <f>'Winona Co'!U28</f>
        <v>15113</v>
      </c>
      <c r="AB27" s="110">
        <f>'Pine Co'!U28</f>
        <v>7205</v>
      </c>
      <c r="AC27" s="110">
        <f>'Mille Lacs Co'!U28</f>
        <v>3310</v>
      </c>
      <c r="AD27" s="110">
        <f>'Lake Co'!U28</f>
        <v>9313</v>
      </c>
      <c r="AE27" s="110">
        <f>'Dakota Co'!U28</f>
        <v>77562</v>
      </c>
      <c r="AF27" s="110">
        <f>'Ramsey Co'!U28</f>
        <v>-193937</v>
      </c>
      <c r="AG27" s="110">
        <f>'Washington Co'!U28</f>
        <v>224368</v>
      </c>
      <c r="AH27" s="110">
        <f>'Anoka Co'!U28</f>
        <v>43605</v>
      </c>
      <c r="AI27" s="110">
        <f>'Hennepin Co'!U28</f>
        <v>734975</v>
      </c>
      <c r="AJ27" s="110">
        <f>'Carver Co'!U28</f>
        <v>39626</v>
      </c>
      <c r="AK27" s="110">
        <f>'Wright Co'!U28</f>
        <v>35450</v>
      </c>
      <c r="AL27" s="110">
        <f>'Polk Co'!U28</f>
        <v>2709</v>
      </c>
      <c r="AM27" s="110">
        <f>'Mower Co'!U28</f>
        <v>5524</v>
      </c>
      <c r="AN27" s="110">
        <f>'Nicollet Co'!U28</f>
        <v>6266</v>
      </c>
      <c r="AO27" s="110">
        <f>'Stearns Co'!U28</f>
        <v>36535</v>
      </c>
      <c r="AP27" s="110">
        <f>'Morrison Co'!U28</f>
        <v>9228</v>
      </c>
      <c r="AQ27" s="110">
        <f>'Kandiyohi Co'!U28</f>
        <v>16461</v>
      </c>
      <c r="AR27" s="110">
        <f>'Dodge Co'!U28</f>
        <v>4663</v>
      </c>
      <c r="AS27" s="110">
        <f>'Goodhue Co'!U28</f>
        <v>29611</v>
      </c>
      <c r="AT27" s="110">
        <f>'Sherburne Co'!U28</f>
        <v>34589</v>
      </c>
      <c r="AU27" s="110">
        <f>'Waseca Co'!U28</f>
        <v>5042</v>
      </c>
      <c r="AV27" s="110">
        <f>'Redwood Co'!U28</f>
        <v>3434</v>
      </c>
      <c r="AW27" s="110">
        <f>'Isanti Co'!U28</f>
        <v>5436</v>
      </c>
      <c r="AX27" s="110">
        <f>'Benton Co'!U28</f>
        <v>14349</v>
      </c>
      <c r="AY27" s="110">
        <f>'McLeod Co'!U28</f>
        <v>14879</v>
      </c>
      <c r="AZ27" s="110">
        <f>'Kanabec Co'!U28</f>
        <v>1786</v>
      </c>
      <c r="BA27" s="110">
        <f>'Nobles Co'!U28</f>
        <v>5404</v>
      </c>
      <c r="BB27" s="110">
        <f>'Le Sueur Co'!U28</f>
        <v>4340</v>
      </c>
      <c r="BC27" s="110">
        <f>'Roseau Co'!U28</f>
        <v>3601</v>
      </c>
      <c r="BD27" s="110">
        <f>'Koochiching Co'!U28</f>
        <v>4352</v>
      </c>
      <c r="BE27" s="110">
        <f>'Norman Co'!U28</f>
        <v>3728</v>
      </c>
      <c r="BF27" s="110">
        <f>'Renville Co'!U28</f>
        <v>3081</v>
      </c>
      <c r="BG27" s="110">
        <f>'Metro Transpo'!U28</f>
        <v>0</v>
      </c>
      <c r="BH27" s="42">
        <f t="shared" si="5"/>
        <v>1690003</v>
      </c>
    </row>
    <row r="28" spans="1:60" x14ac:dyDescent="0.2">
      <c r="A28">
        <v>2023</v>
      </c>
      <c r="B28" s="26" t="s">
        <v>5</v>
      </c>
      <c r="C28" s="110">
        <f>'Metro Transit'!U29</f>
        <v>-184</v>
      </c>
      <c r="D28" s="110">
        <f>'Olmsted Co'!U29</f>
        <v>134222</v>
      </c>
      <c r="E28" s="110">
        <f>'Rice Co'!U29</f>
        <v>22997</v>
      </c>
      <c r="F28" s="110">
        <f>'Wadena Co'!U29</f>
        <v>2766</v>
      </c>
      <c r="G28" s="110">
        <f>'Beltrami Co'!U29</f>
        <v>14798</v>
      </c>
      <c r="H28" s="110">
        <f>'Becker Co'!U29</f>
        <v>13342</v>
      </c>
      <c r="I28" s="110">
        <f>'Douglas Co'!U29</f>
        <v>15411</v>
      </c>
      <c r="J28" s="110">
        <f>'Todd Co'!U29</f>
        <v>3495</v>
      </c>
      <c r="K28" s="110">
        <f>'Fillmore Co'!U29</f>
        <v>14132</v>
      </c>
      <c r="L28" s="110">
        <f>'Carlton Co'!U29</f>
        <v>22693</v>
      </c>
      <c r="M28" s="110">
        <f>'St. Louis Co'!U29</f>
        <v>137665</v>
      </c>
      <c r="N28" s="110">
        <f>'Steele Co'!U29</f>
        <v>19416</v>
      </c>
      <c r="O28" s="110">
        <f>'Hubbard Co'!U29</f>
        <v>13856</v>
      </c>
      <c r="P28" s="110">
        <f>'Lyon Co'!U29</f>
        <v>0</v>
      </c>
      <c r="Q28" s="110">
        <f>'Scott Co'!U29</f>
        <v>67813</v>
      </c>
      <c r="R28" s="110">
        <f>'Freeborn Co'!U29</f>
        <v>9731</v>
      </c>
      <c r="S28" s="110">
        <f>'Otter Tail Co'!U29</f>
        <v>30122</v>
      </c>
      <c r="T28" s="110">
        <f>'Cass Co'!U29</f>
        <v>6292</v>
      </c>
      <c r="U28" s="110">
        <f>'Brown Co'!U29</f>
        <v>9695</v>
      </c>
      <c r="V28" s="110">
        <f>'Crow Wing Co'!U29</f>
        <v>24640</v>
      </c>
      <c r="W28" s="110">
        <f>'Wabasha Co'!U29</f>
        <v>10163</v>
      </c>
      <c r="X28" s="110">
        <f>'Chisago Co'!U29</f>
        <v>10755</v>
      </c>
      <c r="Y28" s="110">
        <f>'Blue Earth Co'!U29</f>
        <v>24562</v>
      </c>
      <c r="Z28" s="110">
        <f>'Cook Co'!U29</f>
        <v>1096</v>
      </c>
      <c r="AA28" s="110">
        <f>'Winona Co'!U29</f>
        <v>21078</v>
      </c>
      <c r="AB28" s="110">
        <f>'Pine Co'!U29</f>
        <v>6806</v>
      </c>
      <c r="AC28" s="110">
        <f>'Mille Lacs Co'!U29</f>
        <v>4192</v>
      </c>
      <c r="AD28" s="110">
        <f>'Lake Co'!U29</f>
        <v>10143</v>
      </c>
      <c r="AE28" s="110">
        <f>'Dakota Co'!U29</f>
        <v>115672</v>
      </c>
      <c r="AF28" s="110">
        <f>'Ramsey Co'!U29</f>
        <v>481504</v>
      </c>
      <c r="AG28" s="110">
        <f>'Washington Co'!U29</f>
        <v>171640</v>
      </c>
      <c r="AH28" s="110">
        <f>'Anoka Co'!U29</f>
        <v>54158</v>
      </c>
      <c r="AI28" s="110">
        <f>'Hennepin Co'!U29</f>
        <v>870317</v>
      </c>
      <c r="AJ28" s="110">
        <f>'Carver Co'!U29</f>
        <v>41181</v>
      </c>
      <c r="AK28" s="110">
        <f>'Wright Co'!U29</f>
        <v>51333</v>
      </c>
      <c r="AL28" s="110">
        <f>'Polk Co'!U29</f>
        <v>7158</v>
      </c>
      <c r="AM28" s="110">
        <f>'Mower Co'!U29</f>
        <v>5211</v>
      </c>
      <c r="AN28" s="110">
        <f>'Nicollet Co'!U29</f>
        <v>6603</v>
      </c>
      <c r="AO28" s="110">
        <f>'Stearns Co'!U29</f>
        <v>40424</v>
      </c>
      <c r="AP28" s="110">
        <f>'Morrison Co'!U29</f>
        <v>10334</v>
      </c>
      <c r="AQ28" s="110">
        <f>'Kandiyohi Co'!U29</f>
        <v>16886</v>
      </c>
      <c r="AR28" s="110">
        <f>'Dodge Co'!U29</f>
        <v>3871</v>
      </c>
      <c r="AS28" s="110">
        <f>'Goodhue Co'!U29</f>
        <v>29050</v>
      </c>
      <c r="AT28" s="110">
        <f>'Sherburne Co'!U29</f>
        <v>40725</v>
      </c>
      <c r="AU28" s="110">
        <f>'Waseca Co'!U29</f>
        <v>6230</v>
      </c>
      <c r="AV28" s="110">
        <f>'Redwood Co'!U29</f>
        <v>3394</v>
      </c>
      <c r="AW28" s="110">
        <f>'Isanti Co'!U29</f>
        <v>7678</v>
      </c>
      <c r="AX28" s="110">
        <f>'Benton Co'!U29</f>
        <v>17702</v>
      </c>
      <c r="AY28" s="110">
        <f>'McLeod Co'!U29</f>
        <v>18097</v>
      </c>
      <c r="AZ28" s="110">
        <f>'Kanabec Co'!U29</f>
        <v>3117</v>
      </c>
      <c r="BA28" s="110">
        <f>'Nobles Co'!U29</f>
        <v>5424</v>
      </c>
      <c r="BB28" s="110">
        <f>'Le Sueur Co'!U29</f>
        <v>6267</v>
      </c>
      <c r="BC28" s="110">
        <f>'Roseau Co'!U29</f>
        <v>7740</v>
      </c>
      <c r="BD28" s="110">
        <f>'Koochiching Co'!U29</f>
        <v>6208</v>
      </c>
      <c r="BE28" s="110">
        <f>'Norman Co'!U29</f>
        <v>7441</v>
      </c>
      <c r="BF28" s="110">
        <f>'Renville Co'!U29</f>
        <v>1968</v>
      </c>
      <c r="BG28" s="110">
        <f>'Metro Transpo'!U29</f>
        <v>0</v>
      </c>
      <c r="BH28" s="42">
        <f t="shared" si="5"/>
        <v>2689030</v>
      </c>
    </row>
    <row r="29" spans="1:60" x14ac:dyDescent="0.2">
      <c r="A29">
        <v>2023</v>
      </c>
      <c r="B29" s="26" t="s">
        <v>6</v>
      </c>
      <c r="C29" s="110">
        <f>'Metro Transit'!U30</f>
        <v>104</v>
      </c>
      <c r="D29" s="110">
        <f>'Olmsted Co'!U30</f>
        <v>124996</v>
      </c>
      <c r="E29" s="110">
        <f>'Rice Co'!U30</f>
        <v>30993</v>
      </c>
      <c r="F29" s="110">
        <f>'Wadena Co'!U30</f>
        <v>3054</v>
      </c>
      <c r="G29" s="110">
        <f>'Beltrami Co'!U30</f>
        <v>20650</v>
      </c>
      <c r="H29" s="110">
        <f>'Becker Co'!U30</f>
        <v>29425</v>
      </c>
      <c r="I29" s="110">
        <f>'Douglas Co'!U30</f>
        <v>16157</v>
      </c>
      <c r="J29" s="110">
        <f>'Todd Co'!U30</f>
        <v>6619</v>
      </c>
      <c r="K29" s="110">
        <f>'Fillmore Co'!U30</f>
        <v>16093</v>
      </c>
      <c r="L29" s="110">
        <f>'Carlton Co'!U30</f>
        <v>-17371</v>
      </c>
      <c r="M29" s="110">
        <f>'St. Louis Co'!U30</f>
        <v>156205</v>
      </c>
      <c r="N29" s="110">
        <f>'Steele Co'!U30</f>
        <v>17931</v>
      </c>
      <c r="O29" s="110">
        <f>'Hubbard Co'!U30</f>
        <v>10945</v>
      </c>
      <c r="P29" s="110">
        <f>'Lyon Co'!U30</f>
        <v>0</v>
      </c>
      <c r="Q29" s="110">
        <f>'Scott Co'!U30</f>
        <v>130197</v>
      </c>
      <c r="R29" s="110">
        <f>'Freeborn Co'!U30</f>
        <v>18685</v>
      </c>
      <c r="S29" s="110">
        <f>'Otter Tail Co'!U30</f>
        <v>27770</v>
      </c>
      <c r="T29" s="110">
        <f>'Cass Co'!U30</f>
        <v>9312</v>
      </c>
      <c r="U29" s="110">
        <f>'Brown Co'!U30</f>
        <v>12803</v>
      </c>
      <c r="V29" s="110">
        <f>'Crow Wing Co'!U30</f>
        <v>39931</v>
      </c>
      <c r="W29" s="110">
        <f>'Wabasha Co'!U30</f>
        <v>17169</v>
      </c>
      <c r="X29" s="110">
        <f>'Chisago Co'!U30</f>
        <v>16016</v>
      </c>
      <c r="Y29" s="110">
        <f>'Blue Earth Co'!U30</f>
        <v>34203</v>
      </c>
      <c r="Z29" s="110">
        <f>'Cook Co'!U30</f>
        <v>3547</v>
      </c>
      <c r="AA29" s="110">
        <f>'Winona Co'!U30</f>
        <v>23441</v>
      </c>
      <c r="AB29" s="110">
        <f>'Pine Co'!U30</f>
        <v>5994</v>
      </c>
      <c r="AC29" s="110">
        <f>'Mille Lacs Co'!U30</f>
        <v>4628</v>
      </c>
      <c r="AD29" s="110">
        <f>'Lake Co'!U30</f>
        <v>11898</v>
      </c>
      <c r="AE29" s="110">
        <f>'Dakota Co'!U30</f>
        <v>117559</v>
      </c>
      <c r="AF29" s="110">
        <f>'Ramsey Co'!U30</f>
        <v>471144</v>
      </c>
      <c r="AG29" s="110">
        <f>'Washington Co'!U30</f>
        <v>258205</v>
      </c>
      <c r="AH29" s="110">
        <f>'Anoka Co'!U30</f>
        <v>67236</v>
      </c>
      <c r="AI29" s="110">
        <f>'Hennepin Co'!U30</f>
        <v>1119298</v>
      </c>
      <c r="AJ29" s="110">
        <f>'Carver Co'!U30</f>
        <v>61447</v>
      </c>
      <c r="AK29" s="110">
        <f>'Wright Co'!U30</f>
        <v>43513</v>
      </c>
      <c r="AL29" s="110">
        <f>'Polk Co'!U30</f>
        <v>9677</v>
      </c>
      <c r="AM29" s="110">
        <f>'Mower Co'!U30</f>
        <v>7827</v>
      </c>
      <c r="AN29" s="110">
        <f>'Nicollet Co'!U30</f>
        <v>8710</v>
      </c>
      <c r="AO29" s="110">
        <f>'Stearns Co'!U30</f>
        <v>53920</v>
      </c>
      <c r="AP29" s="110">
        <f>'Morrison Co'!U30</f>
        <v>13328</v>
      </c>
      <c r="AQ29" s="110">
        <f>'Kandiyohi Co'!U30</f>
        <v>25126</v>
      </c>
      <c r="AR29" s="110">
        <f>'Dodge Co'!U30</f>
        <v>5872</v>
      </c>
      <c r="AS29" s="110">
        <f>'Goodhue Co'!U30</f>
        <v>37061</v>
      </c>
      <c r="AT29" s="110">
        <f>'Sherburne Co'!U30</f>
        <v>47969</v>
      </c>
      <c r="AU29" s="110">
        <f>'Waseca Co'!U30</f>
        <v>6540</v>
      </c>
      <c r="AV29" s="110">
        <f>'Redwood Co'!U30</f>
        <v>3702</v>
      </c>
      <c r="AW29" s="110">
        <f>'Isanti Co'!U30</f>
        <v>13042</v>
      </c>
      <c r="AX29" s="110">
        <f>'Benton Co'!U30</f>
        <v>21331</v>
      </c>
      <c r="AY29" s="110">
        <f>'McLeod Co'!U30</f>
        <v>25619</v>
      </c>
      <c r="AZ29" s="110">
        <f>'Kanabec Co'!U30</f>
        <v>6678</v>
      </c>
      <c r="BA29" s="110">
        <f>'Nobles Co'!U30</f>
        <v>15526</v>
      </c>
      <c r="BB29" s="110">
        <f>'Le Sueur Co'!U30</f>
        <v>8112</v>
      </c>
      <c r="BC29" s="110">
        <f>'Roseau Co'!U30</f>
        <v>5662</v>
      </c>
      <c r="BD29" s="110">
        <f>'Koochiching Co'!U30</f>
        <v>5679</v>
      </c>
      <c r="BE29" s="110">
        <f>'Norman Co'!U30</f>
        <v>7660</v>
      </c>
      <c r="BF29" s="110">
        <f>'Renville Co'!U30</f>
        <v>6163</v>
      </c>
      <c r="BG29" s="110">
        <f>'Metro Transpo'!U30</f>
        <v>0</v>
      </c>
      <c r="BH29" s="42">
        <f t="shared" si="5"/>
        <v>3245001</v>
      </c>
    </row>
    <row r="30" spans="1:60" x14ac:dyDescent="0.2">
      <c r="A30">
        <v>2023</v>
      </c>
      <c r="B30" s="26" t="s">
        <v>7</v>
      </c>
      <c r="C30" s="110">
        <f>'Metro Transit'!U31</f>
        <v>292</v>
      </c>
      <c r="D30" s="110">
        <f>'Olmsted Co'!U31</f>
        <v>99828</v>
      </c>
      <c r="E30" s="110">
        <f>'Rice Co'!U31</f>
        <v>14677</v>
      </c>
      <c r="F30" s="110">
        <f>'Wadena Co'!U31</f>
        <v>3219</v>
      </c>
      <c r="G30" s="110">
        <f>'Beltrami Co'!U31</f>
        <v>16419</v>
      </c>
      <c r="H30" s="110">
        <f>'Becker Co'!U31</f>
        <v>13674</v>
      </c>
      <c r="I30" s="110">
        <f>'Douglas Co'!U31</f>
        <v>13263</v>
      </c>
      <c r="J30" s="110">
        <f>'Todd Co'!U31</f>
        <v>14419</v>
      </c>
      <c r="K30" s="110">
        <f>'Fillmore Co'!U31</f>
        <v>7677</v>
      </c>
      <c r="L30" s="110">
        <f>'Carlton Co'!U31</f>
        <v>18783</v>
      </c>
      <c r="M30" s="110">
        <f>'St. Louis Co'!U31</f>
        <v>159781</v>
      </c>
      <c r="N30" s="110">
        <f>'Steele Co'!U31</f>
        <v>13569</v>
      </c>
      <c r="O30" s="110">
        <f>'Hubbard Co'!U31</f>
        <v>15980</v>
      </c>
      <c r="P30" s="110">
        <f>'Lyon Co'!U31</f>
        <v>53</v>
      </c>
      <c r="Q30" s="110">
        <f>'Scott Co'!U31</f>
        <v>61091</v>
      </c>
      <c r="R30" s="110">
        <f>'Freeborn Co'!U31</f>
        <v>8236</v>
      </c>
      <c r="S30" s="110">
        <f>'Otter Tail Co'!U31</f>
        <v>37195</v>
      </c>
      <c r="T30" s="110">
        <f>'Cass Co'!U31</f>
        <v>8564</v>
      </c>
      <c r="U30" s="110">
        <f>'Brown Co'!U31</f>
        <v>13868</v>
      </c>
      <c r="V30" s="110">
        <f>'Crow Wing Co'!U31</f>
        <v>25277</v>
      </c>
      <c r="W30" s="110">
        <f>'Wabasha Co'!U31</f>
        <v>13559</v>
      </c>
      <c r="X30" s="110">
        <f>'Chisago Co'!U31</f>
        <v>11190</v>
      </c>
      <c r="Y30" s="110">
        <f>'Blue Earth Co'!U31</f>
        <v>28183</v>
      </c>
      <c r="Z30" s="110">
        <f>'Cook Co'!U31</f>
        <v>1869</v>
      </c>
      <c r="AA30" s="110">
        <f>'Winona Co'!U31</f>
        <v>11549</v>
      </c>
      <c r="AB30" s="110">
        <f>'Pine Co'!U31</f>
        <v>3926</v>
      </c>
      <c r="AC30" s="110">
        <f>'Mille Lacs Co'!U31</f>
        <v>4355</v>
      </c>
      <c r="AD30" s="110">
        <f>'Lake Co'!U31</f>
        <v>17427</v>
      </c>
      <c r="AE30" s="110">
        <f>'Dakota Co'!U31</f>
        <v>104575</v>
      </c>
      <c r="AF30" s="110">
        <f>'Ramsey Co'!U31</f>
        <v>387374</v>
      </c>
      <c r="AG30" s="110">
        <f>'Washington Co'!U31</f>
        <v>205068</v>
      </c>
      <c r="AH30" s="110">
        <f>'Anoka Co'!U31</f>
        <v>57528</v>
      </c>
      <c r="AI30" s="110">
        <f>'Hennepin Co'!U31</f>
        <v>750482</v>
      </c>
      <c r="AJ30" s="110">
        <f>'Carver Co'!U31</f>
        <v>41674</v>
      </c>
      <c r="AK30" s="110">
        <f>'Wright Co'!U31</f>
        <v>45996</v>
      </c>
      <c r="AL30" s="110">
        <f>'Polk Co'!U31</f>
        <v>1247</v>
      </c>
      <c r="AM30" s="110">
        <f>'Mower Co'!U31</f>
        <v>5280</v>
      </c>
      <c r="AN30" s="110">
        <f>'Nicollet Co'!U31</f>
        <v>7310</v>
      </c>
      <c r="AO30" s="110">
        <f>'Stearns Co'!U31</f>
        <v>54959</v>
      </c>
      <c r="AP30" s="110">
        <f>'Morrison Co'!U31</f>
        <v>13251</v>
      </c>
      <c r="AQ30" s="110">
        <f>'Kandiyohi Co'!U31</f>
        <v>26589</v>
      </c>
      <c r="AR30" s="110">
        <f>'Dodge Co'!U31</f>
        <v>4327</v>
      </c>
      <c r="AS30" s="110">
        <f>'Goodhue Co'!U31</f>
        <v>32736</v>
      </c>
      <c r="AT30" s="110">
        <f>'Sherburne Co'!U31</f>
        <v>32951</v>
      </c>
      <c r="AU30" s="110">
        <f>'Waseca Co'!U31</f>
        <v>5060</v>
      </c>
      <c r="AV30" s="110">
        <f>'Redwood Co'!U31</f>
        <v>3863</v>
      </c>
      <c r="AW30" s="110">
        <f>'Isanti Co'!U31</f>
        <v>12857</v>
      </c>
      <c r="AX30" s="110">
        <f>'Benton Co'!U31</f>
        <v>20001</v>
      </c>
      <c r="AY30" s="110">
        <f>'McLeod Co'!U31</f>
        <v>18718</v>
      </c>
      <c r="AZ30" s="110">
        <f>'Kanabec Co'!U31</f>
        <v>5323</v>
      </c>
      <c r="BA30" s="110">
        <f>'Nobles Co'!U31</f>
        <v>6053</v>
      </c>
      <c r="BB30" s="110">
        <f>'Le Sueur Co'!U31</f>
        <v>7397</v>
      </c>
      <c r="BC30" s="110">
        <f>'Roseau Co'!U31</f>
        <v>4161</v>
      </c>
      <c r="BD30" s="110">
        <f>'Koochiching Co'!U31</f>
        <v>3932</v>
      </c>
      <c r="BE30" s="110">
        <f>'Norman Co'!U31</f>
        <v>1753</v>
      </c>
      <c r="BF30" s="110">
        <f>'Renville Co'!U31</f>
        <v>4218</v>
      </c>
      <c r="BG30" s="110">
        <f>'Metro Transpo'!U31</f>
        <v>0</v>
      </c>
      <c r="BH30" s="42">
        <f t="shared" si="5"/>
        <v>2502606</v>
      </c>
    </row>
    <row r="31" spans="1:60" x14ac:dyDescent="0.2">
      <c r="A31">
        <v>2023</v>
      </c>
      <c r="B31" s="26" t="s">
        <v>8</v>
      </c>
      <c r="C31" s="110">
        <f>'Metro Transit'!U32</f>
        <v>-2710</v>
      </c>
      <c r="D31" s="110">
        <f>'Olmsted Co'!U32</f>
        <v>127735</v>
      </c>
      <c r="E31" s="110">
        <f>'Rice Co'!U32</f>
        <v>29421</v>
      </c>
      <c r="F31" s="110">
        <f>'Wadena Co'!U32</f>
        <v>3440</v>
      </c>
      <c r="G31" s="110">
        <f>'Beltrami Co'!U32</f>
        <v>20833</v>
      </c>
      <c r="H31" s="110">
        <f>'Becker Co'!U32</f>
        <v>18927</v>
      </c>
      <c r="I31" s="110">
        <f>'Douglas Co'!U32</f>
        <v>22173</v>
      </c>
      <c r="J31" s="110">
        <f>'Todd Co'!U32</f>
        <v>9152</v>
      </c>
      <c r="K31" s="110">
        <f>'Fillmore Co'!U32</f>
        <v>10167</v>
      </c>
      <c r="L31" s="110">
        <f>'Carlton Co'!U32</f>
        <v>20082</v>
      </c>
      <c r="M31" s="110">
        <f>'St. Louis Co'!U32</f>
        <v>185345</v>
      </c>
      <c r="N31" s="110">
        <f>'Steele Co'!U32</f>
        <v>12760</v>
      </c>
      <c r="O31" s="110">
        <f>'Hubbard Co'!U32</f>
        <v>13210</v>
      </c>
      <c r="P31" s="110">
        <f>'Lyon Co'!U32</f>
        <v>0</v>
      </c>
      <c r="Q31" s="110">
        <f>'Scott Co'!U32</f>
        <v>78296</v>
      </c>
      <c r="R31" s="110">
        <f>'Freeborn Co'!U32</f>
        <v>12102</v>
      </c>
      <c r="S31" s="110">
        <f>'Otter Tail Co'!U32</f>
        <v>35638</v>
      </c>
      <c r="T31" s="110">
        <f>'Cass Co'!U32</f>
        <v>12448</v>
      </c>
      <c r="U31" s="110">
        <f>'Brown Co'!U32</f>
        <v>9082</v>
      </c>
      <c r="V31" s="110">
        <f>'Crow Wing Co'!U32</f>
        <v>20512</v>
      </c>
      <c r="W31" s="110">
        <f>'Wabasha Co'!U32</f>
        <v>13944</v>
      </c>
      <c r="X31" s="110">
        <f>'Chisago Co'!U32</f>
        <v>12058</v>
      </c>
      <c r="Y31" s="110">
        <f>'Blue Earth Co'!U32</f>
        <v>31977</v>
      </c>
      <c r="Z31" s="110">
        <f>'Cook Co'!U32</f>
        <v>1238</v>
      </c>
      <c r="AA31" s="110">
        <f>'Winona Co'!U32</f>
        <v>17550</v>
      </c>
      <c r="AB31" s="110">
        <f>'Pine Co'!U32</f>
        <v>4905</v>
      </c>
      <c r="AC31" s="110">
        <f>'Mille Lacs Co'!U32</f>
        <v>6544</v>
      </c>
      <c r="AD31" s="110">
        <f>'Lake Co'!U32</f>
        <v>12538</v>
      </c>
      <c r="AE31" s="110">
        <f>'Dakota Co'!U32</f>
        <v>121232</v>
      </c>
      <c r="AF31" s="110">
        <f>'Ramsey Co'!U32</f>
        <v>482765</v>
      </c>
      <c r="AG31" s="110">
        <f>'Washington Co'!U32</f>
        <v>167294</v>
      </c>
      <c r="AH31" s="110">
        <f>'Anoka Co'!U32</f>
        <v>59476</v>
      </c>
      <c r="AI31" s="110">
        <f>'Hennepin Co'!U32</f>
        <v>772208</v>
      </c>
      <c r="AJ31" s="110">
        <f>'Carver Co'!U32</f>
        <v>36298</v>
      </c>
      <c r="AK31" s="110">
        <f>'Wright Co'!U32</f>
        <v>50251</v>
      </c>
      <c r="AL31" s="110">
        <f>'Polk Co'!U32</f>
        <v>8103</v>
      </c>
      <c r="AM31" s="110">
        <f>'Mower Co'!U32</f>
        <v>5916</v>
      </c>
      <c r="AN31" s="110">
        <f>'Nicollet Co'!U32</f>
        <v>8505</v>
      </c>
      <c r="AO31" s="110">
        <f>'Stearns Co'!U32</f>
        <v>50927</v>
      </c>
      <c r="AP31" s="110">
        <f>'Morrison Co'!U32</f>
        <v>8831</v>
      </c>
      <c r="AQ31" s="110">
        <f>'Kandiyohi Co'!U32</f>
        <v>19537</v>
      </c>
      <c r="AR31" s="110">
        <f>'Dodge Co'!U32</f>
        <v>8891</v>
      </c>
      <c r="AS31" s="110">
        <f>'Goodhue Co'!U32</f>
        <v>33085</v>
      </c>
      <c r="AT31" s="110">
        <f>'Sherburne Co'!U32</f>
        <v>32739</v>
      </c>
      <c r="AU31" s="110">
        <f>'Waseca Co'!U32</f>
        <v>4154</v>
      </c>
      <c r="AV31" s="110">
        <f>'Redwood Co'!U32</f>
        <v>3378</v>
      </c>
      <c r="AW31" s="110">
        <f>'Isanti Co'!U32</f>
        <v>6563</v>
      </c>
      <c r="AX31" s="110">
        <f>'Benton Co'!U32</f>
        <v>28592</v>
      </c>
      <c r="AY31" s="110">
        <f>'McLeod Co'!U32</f>
        <v>21689</v>
      </c>
      <c r="AZ31" s="110">
        <f>'Kanabec Co'!U32</f>
        <v>9162</v>
      </c>
      <c r="BA31" s="110">
        <f>'Nobles Co'!U32</f>
        <v>9156</v>
      </c>
      <c r="BB31" s="110">
        <f>'Le Sueur Co'!U32</f>
        <v>12503</v>
      </c>
      <c r="BC31" s="110">
        <f>'Roseau Co'!U32</f>
        <v>2307</v>
      </c>
      <c r="BD31" s="110">
        <f>'Koochiching Co'!U32</f>
        <v>4787</v>
      </c>
      <c r="BE31" s="110">
        <f>'Norman Co'!U32</f>
        <v>1644</v>
      </c>
      <c r="BF31" s="110">
        <f>'Renville Co'!U32</f>
        <v>4324</v>
      </c>
      <c r="BG31" s="110">
        <f>'Metro Transpo'!U32</f>
        <v>0</v>
      </c>
      <c r="BH31" s="42">
        <f t="shared" si="5"/>
        <v>2713684</v>
      </c>
    </row>
    <row r="32" spans="1:60" x14ac:dyDescent="0.2">
      <c r="A32">
        <v>2023</v>
      </c>
      <c r="B32" s="26" t="s">
        <v>9</v>
      </c>
      <c r="C32" s="110">
        <f>'Metro Transit'!U33</f>
        <v>-244</v>
      </c>
      <c r="D32" s="110">
        <f>'Olmsted Co'!U33</f>
        <v>147136</v>
      </c>
      <c r="E32" s="110">
        <f>'Rice Co'!U33</f>
        <v>33562</v>
      </c>
      <c r="F32" s="110">
        <f>'Wadena Co'!U33</f>
        <v>9671</v>
      </c>
      <c r="G32" s="110">
        <f>'Beltrami Co'!U33</f>
        <v>17811</v>
      </c>
      <c r="H32" s="110">
        <f>'Becker Co'!U33</f>
        <v>20070</v>
      </c>
      <c r="I32" s="110">
        <f>'Douglas Co'!U33</f>
        <v>22488</v>
      </c>
      <c r="J32" s="110">
        <f>'Todd Co'!U33</f>
        <v>5563</v>
      </c>
      <c r="K32" s="110">
        <f>'Fillmore Co'!U33</f>
        <v>13490</v>
      </c>
      <c r="L32" s="110">
        <f>'Carlton Co'!U33</f>
        <v>26734</v>
      </c>
      <c r="M32" s="110">
        <f>'St. Louis Co'!U33</f>
        <v>167433</v>
      </c>
      <c r="N32" s="110">
        <f>'Steele Co'!U33</f>
        <v>21362</v>
      </c>
      <c r="O32" s="110">
        <f>'Hubbard Co'!U33</f>
        <v>11136</v>
      </c>
      <c r="P32" s="110">
        <f>'Lyon Co'!U33</f>
        <v>0</v>
      </c>
      <c r="Q32" s="110">
        <f>'Scott Co'!U33</f>
        <v>74310</v>
      </c>
      <c r="R32" s="110">
        <f>'Freeborn Co'!U33</f>
        <v>8720</v>
      </c>
      <c r="S32" s="110">
        <f>'Otter Tail Co'!U33</f>
        <v>26796</v>
      </c>
      <c r="T32" s="110">
        <f>'Cass Co'!U33</f>
        <v>12119</v>
      </c>
      <c r="U32" s="110">
        <f>'Brown Co'!U33</f>
        <v>7982</v>
      </c>
      <c r="V32" s="110">
        <f>'Crow Wing Co'!U33</f>
        <v>29366</v>
      </c>
      <c r="W32" s="110">
        <f>'Wabasha Co'!U33</f>
        <v>25955</v>
      </c>
      <c r="X32" s="110">
        <f>'Chisago Co'!U33</f>
        <v>30175</v>
      </c>
      <c r="Y32" s="110">
        <f>'Blue Earth Co'!U33</f>
        <v>31128</v>
      </c>
      <c r="Z32" s="110">
        <f>'Cook Co'!U33</f>
        <v>4269</v>
      </c>
      <c r="AA32" s="110">
        <f>'Winona Co'!U33</f>
        <v>29725</v>
      </c>
      <c r="AB32" s="110">
        <f>'Pine Co'!U33</f>
        <v>7247</v>
      </c>
      <c r="AC32" s="110">
        <f>'Mille Lacs Co'!U33</f>
        <v>6375</v>
      </c>
      <c r="AD32" s="110">
        <f>'Lake Co'!U33</f>
        <v>13881</v>
      </c>
      <c r="AE32" s="110">
        <f>'Dakota Co'!U33</f>
        <v>132012</v>
      </c>
      <c r="AF32" s="110">
        <f>'Ramsey Co'!U33</f>
        <v>482819</v>
      </c>
      <c r="AG32" s="110">
        <f>'Washington Co'!U33</f>
        <v>217044</v>
      </c>
      <c r="AH32" s="110">
        <f>'Anoka Co'!U33</f>
        <v>61059</v>
      </c>
      <c r="AI32" s="110">
        <f>'Hennepin Co'!U33</f>
        <v>811814</v>
      </c>
      <c r="AJ32" s="110">
        <f>'Carver Co'!U33</f>
        <v>37494</v>
      </c>
      <c r="AK32" s="110">
        <f>'Wright Co'!U33</f>
        <v>51152</v>
      </c>
      <c r="AL32" s="110">
        <f>'Polk Co'!U33</f>
        <v>3328</v>
      </c>
      <c r="AM32" s="110">
        <f>'Mower Co'!U33</f>
        <v>9841</v>
      </c>
      <c r="AN32" s="110">
        <f>'Nicollet Co'!U33</f>
        <v>10344</v>
      </c>
      <c r="AO32" s="110">
        <f>'Stearns Co'!U33</f>
        <v>42241</v>
      </c>
      <c r="AP32" s="110">
        <f>'Morrison Co'!U33</f>
        <v>8899</v>
      </c>
      <c r="AQ32" s="110">
        <f>'Kandiyohi Co'!U33</f>
        <v>22890</v>
      </c>
      <c r="AR32" s="110">
        <f>'Dodge Co'!U33</f>
        <v>4873</v>
      </c>
      <c r="AS32" s="110">
        <f>'Goodhue Co'!U33</f>
        <v>43001</v>
      </c>
      <c r="AT32" s="110">
        <f>'Sherburne Co'!U33</f>
        <v>20706</v>
      </c>
      <c r="AU32" s="110">
        <f>'Waseca Co'!U33</f>
        <v>4018</v>
      </c>
      <c r="AV32" s="110">
        <f>'Redwood Co'!U33</f>
        <v>6612</v>
      </c>
      <c r="AW32" s="110">
        <f>'Isanti Co'!U33</f>
        <v>6445</v>
      </c>
      <c r="AX32" s="110">
        <f>'Benton Co'!U33</f>
        <v>20247</v>
      </c>
      <c r="AY32" s="110">
        <f>'McLeod Co'!U33</f>
        <v>16639</v>
      </c>
      <c r="AZ32" s="110">
        <f>'Kanabec Co'!U33</f>
        <v>8041</v>
      </c>
      <c r="BA32" s="110">
        <f>'Nobles Co'!U33</f>
        <v>11022</v>
      </c>
      <c r="BB32" s="110">
        <f>'Le Sueur Co'!U33</f>
        <v>12736</v>
      </c>
      <c r="BC32" s="110">
        <f>'Roseau Co'!U33</f>
        <v>4213</v>
      </c>
      <c r="BD32" s="110">
        <f>'Koochiching Co'!U33</f>
        <v>4968</v>
      </c>
      <c r="BE32" s="110">
        <f>'Norman Co'!U33</f>
        <v>4410</v>
      </c>
      <c r="BF32" s="110">
        <f>'Renville Co'!U33</f>
        <v>4053</v>
      </c>
      <c r="BG32" s="110">
        <f>'Metro Transpo'!U33</f>
        <v>1381</v>
      </c>
      <c r="BH32" s="42">
        <f t="shared" si="5"/>
        <v>2868562</v>
      </c>
    </row>
    <row r="33" spans="1:60" x14ac:dyDescent="0.2">
      <c r="A33">
        <v>2023</v>
      </c>
      <c r="B33" s="26" t="s">
        <v>50</v>
      </c>
      <c r="C33" s="110">
        <f>'Metro Transit'!U34</f>
        <v>3377</v>
      </c>
      <c r="D33" s="110">
        <f>'Olmsted Co'!U34</f>
        <v>95055</v>
      </c>
      <c r="E33" s="110">
        <f>'Rice Co'!U34</f>
        <v>26194</v>
      </c>
      <c r="F33" s="110">
        <f>'Wadena Co'!U34</f>
        <v>5438</v>
      </c>
      <c r="G33" s="110">
        <f>'Beltrami Co'!U34</f>
        <v>17275</v>
      </c>
      <c r="H33" s="110">
        <f>'Becker Co'!U34</f>
        <v>13587</v>
      </c>
      <c r="I33" s="110">
        <f>'Douglas Co'!U34</f>
        <v>18313</v>
      </c>
      <c r="J33" s="110">
        <f>'Todd Co'!U34</f>
        <v>5037</v>
      </c>
      <c r="K33" s="110">
        <f>'Fillmore Co'!U34</f>
        <v>8091</v>
      </c>
      <c r="L33" s="110">
        <f>'Carlton Co'!U34</f>
        <v>21501</v>
      </c>
      <c r="M33" s="110">
        <f>'St. Louis Co'!U34</f>
        <v>172369</v>
      </c>
      <c r="N33" s="110">
        <f>'Steele Co'!U34</f>
        <v>13845</v>
      </c>
      <c r="O33" s="110">
        <f>'Hubbard Co'!U34</f>
        <v>14900</v>
      </c>
      <c r="P33" s="110">
        <f>'Lyon Co'!U34</f>
        <v>-18213</v>
      </c>
      <c r="Q33" s="110">
        <f>'Scott Co'!U34</f>
        <v>79819</v>
      </c>
      <c r="R33" s="110">
        <f>'Freeborn Co'!U34</f>
        <v>8304</v>
      </c>
      <c r="S33" s="110">
        <f>'Otter Tail Co'!U34</f>
        <v>23799</v>
      </c>
      <c r="T33" s="110">
        <f>'Cass Co'!U34</f>
        <v>6313</v>
      </c>
      <c r="U33" s="110">
        <f>'Brown Co'!U34</f>
        <v>8851</v>
      </c>
      <c r="V33" s="110">
        <f>'Crow Wing Co'!U34</f>
        <v>24020</v>
      </c>
      <c r="W33" s="110">
        <f>'Wabasha Co'!U34</f>
        <v>11597</v>
      </c>
      <c r="X33" s="110">
        <f>'Chisago Co'!U34</f>
        <v>16938</v>
      </c>
      <c r="Y33" s="110">
        <f>'Blue Earth Co'!U34</f>
        <v>30243</v>
      </c>
      <c r="Z33" s="110">
        <f>'Cook Co'!U34</f>
        <v>2086</v>
      </c>
      <c r="AA33" s="110">
        <f>'Winona Co'!U34</f>
        <v>18451</v>
      </c>
      <c r="AB33" s="110">
        <f>'Pine Co'!U34</f>
        <v>4507</v>
      </c>
      <c r="AC33" s="110">
        <f>'Mille Lacs Co'!U34</f>
        <v>5523</v>
      </c>
      <c r="AD33" s="110">
        <f>'Lake Co'!U34</f>
        <v>13321</v>
      </c>
      <c r="AE33" s="110">
        <f>'Dakota Co'!U34</f>
        <v>137525</v>
      </c>
      <c r="AF33" s="110">
        <f>'Ramsey Co'!U34</f>
        <v>475204</v>
      </c>
      <c r="AG33" s="110">
        <f>'Washington Co'!U34</f>
        <v>175058</v>
      </c>
      <c r="AH33" s="110">
        <f>'Anoka Co'!U34</f>
        <v>62555</v>
      </c>
      <c r="AI33" s="110">
        <f>'Hennepin Co'!U34</f>
        <v>838593</v>
      </c>
      <c r="AJ33" s="110">
        <f>'Carver Co'!U34</f>
        <v>73817</v>
      </c>
      <c r="AK33" s="110">
        <f>'Wright Co'!U34</f>
        <v>43122</v>
      </c>
      <c r="AL33" s="110">
        <f>'Polk Co'!U34</f>
        <v>6046</v>
      </c>
      <c r="AM33" s="110">
        <f>'Mower Co'!U34</f>
        <v>8143</v>
      </c>
      <c r="AN33" s="110">
        <f>'Nicollet Co'!U34</f>
        <v>6070</v>
      </c>
      <c r="AO33" s="110">
        <f>'Stearns Co'!U34</f>
        <v>44610</v>
      </c>
      <c r="AP33" s="110">
        <f>'Morrison Co'!U34</f>
        <v>7875</v>
      </c>
      <c r="AQ33" s="110">
        <f>'Kandiyohi Co'!U34</f>
        <v>22844</v>
      </c>
      <c r="AR33" s="110">
        <f>'Dodge Co'!U34</f>
        <v>4616</v>
      </c>
      <c r="AS33" s="110">
        <f>'Goodhue Co'!U34</f>
        <v>36959</v>
      </c>
      <c r="AT33" s="110">
        <f>'Sherburne Co'!U34</f>
        <v>25608</v>
      </c>
      <c r="AU33" s="110">
        <f>'Waseca Co'!U34</f>
        <v>5744</v>
      </c>
      <c r="AV33" s="110">
        <f>'Redwood Co'!U34</f>
        <v>2709</v>
      </c>
      <c r="AW33" s="110">
        <f>'Isanti Co'!U34</f>
        <v>9354</v>
      </c>
      <c r="AX33" s="110">
        <f>'Benton Co'!U34</f>
        <v>18554</v>
      </c>
      <c r="AY33" s="110">
        <f>'McLeod Co'!U34</f>
        <v>15688</v>
      </c>
      <c r="AZ33" s="110">
        <f>'Kanabec Co'!U34</f>
        <v>8964</v>
      </c>
      <c r="BA33" s="110">
        <f>'Nobles Co'!U34</f>
        <v>7670</v>
      </c>
      <c r="BB33" s="110">
        <f>'Le Sueur Co'!U34</f>
        <v>8443</v>
      </c>
      <c r="BC33" s="110">
        <f>'Roseau Co'!U34</f>
        <v>2715</v>
      </c>
      <c r="BD33" s="110">
        <f>'Koochiching Co'!U34</f>
        <v>4833</v>
      </c>
      <c r="BE33" s="110">
        <f>'Norman Co'!U34</f>
        <v>3365</v>
      </c>
      <c r="BF33" s="110">
        <f>'Renville Co'!U34</f>
        <v>3752</v>
      </c>
      <c r="BG33" s="110">
        <f>'Metro Transpo'!U34</f>
        <v>2282882</v>
      </c>
      <c r="BH33" s="42">
        <f t="shared" si="5"/>
        <v>4993859</v>
      </c>
    </row>
    <row r="34" spans="1:60" x14ac:dyDescent="0.2">
      <c r="A34">
        <v>2023</v>
      </c>
      <c r="B34" s="26" t="s">
        <v>11</v>
      </c>
      <c r="C34" s="110">
        <f>'Metro Transit'!U35</f>
        <v>9</v>
      </c>
      <c r="D34" s="110">
        <f>'Olmsted Co'!U35</f>
        <v>87751</v>
      </c>
      <c r="E34" s="110">
        <f>'Rice Co'!U35</f>
        <v>14284</v>
      </c>
      <c r="F34" s="110">
        <f>'Wadena Co'!U35</f>
        <v>3741</v>
      </c>
      <c r="G34" s="110">
        <f>'Beltrami Co'!U35</f>
        <v>15011</v>
      </c>
      <c r="H34" s="110">
        <f>'Becker Co'!U35</f>
        <v>15667</v>
      </c>
      <c r="I34" s="110">
        <f>'Douglas Co'!U35</f>
        <v>14189</v>
      </c>
      <c r="J34" s="110">
        <f>'Todd Co'!U35</f>
        <v>6663</v>
      </c>
      <c r="K34" s="110">
        <f>'Fillmore Co'!U35</f>
        <v>9167</v>
      </c>
      <c r="L34" s="110">
        <f>'Carlton Co'!U35</f>
        <v>18598</v>
      </c>
      <c r="M34" s="110">
        <f>'St. Louis Co'!U35</f>
        <v>136006</v>
      </c>
      <c r="N34" s="110">
        <f>'Steele Co'!U35</f>
        <v>12980</v>
      </c>
      <c r="O34" s="110">
        <f>'Hubbard Co'!U35</f>
        <v>6267</v>
      </c>
      <c r="P34" s="110">
        <f>'Lyon Co'!U35</f>
        <v>0</v>
      </c>
      <c r="Q34" s="110">
        <f>'Scott Co'!U35</f>
        <v>67203</v>
      </c>
      <c r="R34" s="110">
        <f>'Freeborn Co'!U35</f>
        <v>7649</v>
      </c>
      <c r="S34" s="110">
        <f>'Otter Tail Co'!U35</f>
        <v>28468</v>
      </c>
      <c r="T34" s="110">
        <f>'Cass Co'!U35</f>
        <v>3551</v>
      </c>
      <c r="U34" s="110">
        <f>'Brown Co'!U35</f>
        <v>7476</v>
      </c>
      <c r="V34" s="110">
        <f>'Crow Wing Co'!U35</f>
        <v>20828</v>
      </c>
      <c r="W34" s="110">
        <f>'Wabasha Co'!U35</f>
        <v>11659</v>
      </c>
      <c r="X34" s="110">
        <f>'Chisago Co'!U35</f>
        <v>15449</v>
      </c>
      <c r="Y34" s="110">
        <f>'Blue Earth Co'!U35</f>
        <v>29571</v>
      </c>
      <c r="Z34" s="110">
        <f>'Cook Co'!U35</f>
        <v>957</v>
      </c>
      <c r="AA34" s="110">
        <f>'Winona Co'!U35</f>
        <v>18098</v>
      </c>
      <c r="AB34" s="110">
        <f>'Pine Co'!U35</f>
        <v>6133</v>
      </c>
      <c r="AC34" s="110">
        <f>'Mille Lacs Co'!U35</f>
        <v>4488</v>
      </c>
      <c r="AD34" s="110">
        <f>'Lake Co'!U35</f>
        <v>10690</v>
      </c>
      <c r="AE34" s="110">
        <f>'Dakota Co'!U35</f>
        <v>114823</v>
      </c>
      <c r="AF34" s="110">
        <f>'Ramsey Co'!U35</f>
        <v>285840</v>
      </c>
      <c r="AG34" s="110">
        <f>'Washington Co'!U35</f>
        <v>188369</v>
      </c>
      <c r="AH34" s="110">
        <f>'Anoka Co'!U35</f>
        <v>55970</v>
      </c>
      <c r="AI34" s="110">
        <f>'Hennepin Co'!U35</f>
        <v>755685</v>
      </c>
      <c r="AJ34" s="110">
        <f>'Carver Co'!U35</f>
        <v>64793</v>
      </c>
      <c r="AK34" s="110">
        <f>'Wright Co'!U35</f>
        <v>47710</v>
      </c>
      <c r="AL34" s="110">
        <f>'Polk Co'!U35</f>
        <v>6315</v>
      </c>
      <c r="AM34" s="110">
        <f>'Mower Co'!U35</f>
        <v>8722</v>
      </c>
      <c r="AN34" s="110">
        <f>'Nicollet Co'!U35</f>
        <v>5635</v>
      </c>
      <c r="AO34" s="110">
        <f>'Stearns Co'!U35</f>
        <v>47337</v>
      </c>
      <c r="AP34" s="110">
        <f>'Morrison Co'!U35</f>
        <v>9523</v>
      </c>
      <c r="AQ34" s="110">
        <f>'Kandiyohi Co'!U35</f>
        <v>20040</v>
      </c>
      <c r="AR34" s="110">
        <f>'Dodge Co'!U35</f>
        <v>4247</v>
      </c>
      <c r="AS34" s="110">
        <f>'Goodhue Co'!U35</f>
        <v>43801</v>
      </c>
      <c r="AT34" s="110">
        <f>'Sherburne Co'!U35</f>
        <v>30836</v>
      </c>
      <c r="AU34" s="110">
        <f>'Waseca Co'!U35</f>
        <v>3794</v>
      </c>
      <c r="AV34" s="110">
        <f>'Redwood Co'!U35</f>
        <v>3843</v>
      </c>
      <c r="AW34" s="110">
        <f>'Isanti Co'!U35</f>
        <v>7028</v>
      </c>
      <c r="AX34" s="110">
        <f>'Benton Co'!U35</f>
        <v>23801</v>
      </c>
      <c r="AY34" s="110">
        <f>'McLeod Co'!U35</f>
        <v>18432</v>
      </c>
      <c r="AZ34" s="110">
        <f>'Kanabec Co'!U35</f>
        <v>5899</v>
      </c>
      <c r="BA34" s="110">
        <f>'Nobles Co'!U35</f>
        <v>5660</v>
      </c>
      <c r="BB34" s="110">
        <f>'Le Sueur Co'!U35</f>
        <v>7376</v>
      </c>
      <c r="BC34" s="110">
        <f>'Roseau Co'!U35</f>
        <v>1912</v>
      </c>
      <c r="BD34" s="110">
        <f>'Koochiching Co'!U35</f>
        <v>4564</v>
      </c>
      <c r="BE34" s="110">
        <f>'Norman Co'!U35</f>
        <v>1375</v>
      </c>
      <c r="BF34" s="110">
        <f>'Renville Co'!U35</f>
        <v>3759</v>
      </c>
      <c r="BG34" s="110">
        <f>'Metro Transpo'!U35</f>
        <v>2042082</v>
      </c>
      <c r="BH34" s="42">
        <f t="shared" si="5"/>
        <v>4391724</v>
      </c>
    </row>
    <row r="35" spans="1:60" x14ac:dyDescent="0.2">
      <c r="B35" s="25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BH35" s="42"/>
    </row>
    <row r="36" spans="1:60" x14ac:dyDescent="0.2">
      <c r="A36">
        <v>2023</v>
      </c>
      <c r="B36" s="26" t="s">
        <v>52</v>
      </c>
      <c r="C36" s="110">
        <f>SUM(C23:C34)</f>
        <v>-322294</v>
      </c>
      <c r="D36" s="110">
        <f t="shared" ref="D36:N36" si="6">SUM(D23:D34)</f>
        <v>1367372</v>
      </c>
      <c r="E36" s="110">
        <f t="shared" si="6"/>
        <v>254927</v>
      </c>
      <c r="F36" s="110">
        <f t="shared" si="6"/>
        <v>52757</v>
      </c>
      <c r="G36" s="110">
        <f t="shared" si="6"/>
        <v>191577</v>
      </c>
      <c r="H36" s="110">
        <f t="shared" si="6"/>
        <v>177699</v>
      </c>
      <c r="I36" s="110">
        <f t="shared" si="6"/>
        <v>187561</v>
      </c>
      <c r="J36" s="110">
        <f t="shared" si="6"/>
        <v>67664</v>
      </c>
      <c r="K36" s="110">
        <f t="shared" si="6"/>
        <v>128054</v>
      </c>
      <c r="L36" s="110">
        <f t="shared" si="6"/>
        <v>210865</v>
      </c>
      <c r="M36" s="110">
        <f t="shared" si="6"/>
        <v>1868960</v>
      </c>
      <c r="N36" s="110">
        <f t="shared" si="6"/>
        <v>183973</v>
      </c>
      <c r="O36" s="110">
        <f t="shared" ref="O36:AK36" si="7">SUM(O23:O34)</f>
        <v>115836</v>
      </c>
      <c r="P36" s="110">
        <f t="shared" si="7"/>
        <v>-17932</v>
      </c>
      <c r="Q36" s="110">
        <f t="shared" si="7"/>
        <v>875935</v>
      </c>
      <c r="R36" s="110">
        <f t="shared" si="7"/>
        <v>128175</v>
      </c>
      <c r="S36" s="110">
        <f t="shared" si="7"/>
        <v>382953</v>
      </c>
      <c r="T36" s="110">
        <f t="shared" si="7"/>
        <v>83452</v>
      </c>
      <c r="U36" s="110">
        <f t="shared" si="7"/>
        <v>127670</v>
      </c>
      <c r="V36" s="110">
        <f t="shared" si="7"/>
        <v>300376</v>
      </c>
      <c r="W36" s="110">
        <f t="shared" si="7"/>
        <v>170061</v>
      </c>
      <c r="X36" s="110">
        <f t="shared" si="7"/>
        <v>172751</v>
      </c>
      <c r="Y36" s="110">
        <f t="shared" si="7"/>
        <v>362487</v>
      </c>
      <c r="Z36" s="2">
        <f t="shared" si="7"/>
        <v>23761</v>
      </c>
      <c r="AA36" s="2">
        <f t="shared" si="7"/>
        <v>233276</v>
      </c>
      <c r="AB36" s="2">
        <f t="shared" si="7"/>
        <v>68899</v>
      </c>
      <c r="AC36" s="2">
        <f t="shared" si="7"/>
        <v>62268</v>
      </c>
      <c r="AD36" s="2">
        <f t="shared" si="7"/>
        <v>145071</v>
      </c>
      <c r="AE36" s="2">
        <f t="shared" si="7"/>
        <v>1324019</v>
      </c>
      <c r="AF36" s="2">
        <f t="shared" si="7"/>
        <v>4445285</v>
      </c>
      <c r="AG36" s="2">
        <f t="shared" si="7"/>
        <v>2280052</v>
      </c>
      <c r="AH36" s="2">
        <f t="shared" si="7"/>
        <v>693084</v>
      </c>
      <c r="AI36" s="2">
        <f t="shared" si="7"/>
        <v>10029688</v>
      </c>
      <c r="AJ36" s="2">
        <f t="shared" si="7"/>
        <v>607511</v>
      </c>
      <c r="AK36" s="2">
        <f t="shared" si="7"/>
        <v>549550</v>
      </c>
      <c r="AL36" s="2">
        <f t="shared" ref="AL36:AQ36" si="8">SUM(AL23:AL34)</f>
        <v>64539</v>
      </c>
      <c r="AM36" s="2">
        <f t="shared" si="8"/>
        <v>82795</v>
      </c>
      <c r="AN36" s="2">
        <f t="shared" si="8"/>
        <v>83435</v>
      </c>
      <c r="AO36" s="2">
        <f t="shared" si="8"/>
        <v>524354</v>
      </c>
      <c r="AP36" s="2">
        <f t="shared" si="8"/>
        <v>122963</v>
      </c>
      <c r="AQ36" s="2">
        <f t="shared" si="8"/>
        <v>246711</v>
      </c>
      <c r="AR36" s="2">
        <f>SUM(AR23:AR34)</f>
        <v>62609</v>
      </c>
      <c r="AS36" s="2">
        <f t="shared" ref="AS36:AW36" si="9">SUM(AS23:AS34)</f>
        <v>407392</v>
      </c>
      <c r="AT36" s="2">
        <f t="shared" si="9"/>
        <v>455253</v>
      </c>
      <c r="AU36" s="2">
        <f t="shared" si="9"/>
        <v>57339</v>
      </c>
      <c r="AV36" s="2">
        <f t="shared" si="9"/>
        <v>43308</v>
      </c>
      <c r="AW36" s="2">
        <f t="shared" si="9"/>
        <v>93600</v>
      </c>
      <c r="AX36" s="2">
        <f t="shared" ref="AX36:AY36" si="10">SUM(AX23:AX34)</f>
        <v>240730</v>
      </c>
      <c r="AY36" s="2">
        <f t="shared" si="10"/>
        <v>212268</v>
      </c>
      <c r="AZ36" s="2">
        <f t="shared" ref="AZ36" si="11">SUM(AZ23:AZ34)</f>
        <v>68199</v>
      </c>
      <c r="BA36" s="2">
        <f t="shared" ref="BA36:BG36" si="12">SUM(BA23:BA34)</f>
        <v>152591</v>
      </c>
      <c r="BB36" s="2">
        <f t="shared" si="12"/>
        <v>87770</v>
      </c>
      <c r="BC36" s="2">
        <f t="shared" si="12"/>
        <v>45487</v>
      </c>
      <c r="BD36" s="2">
        <f t="shared" si="12"/>
        <v>62944</v>
      </c>
      <c r="BE36" s="2">
        <f t="shared" si="12"/>
        <v>47099</v>
      </c>
      <c r="BF36" s="2">
        <f t="shared" si="12"/>
        <v>39461</v>
      </c>
      <c r="BG36" s="2">
        <f t="shared" si="12"/>
        <v>4326345</v>
      </c>
      <c r="BH36" s="42">
        <f>SUM(C36:BG36)</f>
        <v>35060535</v>
      </c>
    </row>
    <row r="37" spans="1:60" x14ac:dyDescent="0.2">
      <c r="BH37" s="77">
        <f>BH36+BH18</f>
        <v>579095519</v>
      </c>
    </row>
    <row r="38" spans="1:60" x14ac:dyDescent="0.2">
      <c r="B38" s="33" t="s">
        <v>108</v>
      </c>
      <c r="BH38" s="77"/>
    </row>
    <row r="39" spans="1:60" x14ac:dyDescent="0.2">
      <c r="A39">
        <v>2023</v>
      </c>
      <c r="B39" s="26" t="s">
        <v>52</v>
      </c>
      <c r="C39" s="110">
        <f>'Metro Transit'!U72</f>
        <v>-1000</v>
      </c>
      <c r="D39" s="110">
        <v>0</v>
      </c>
      <c r="E39" s="110">
        <v>0</v>
      </c>
      <c r="F39" s="110">
        <v>0</v>
      </c>
      <c r="G39" s="110">
        <f>'Beltrami Co'!U72</f>
        <v>64620</v>
      </c>
      <c r="H39" s="110">
        <v>0</v>
      </c>
      <c r="I39" s="110">
        <v>0</v>
      </c>
      <c r="J39" s="110">
        <v>0</v>
      </c>
      <c r="K39" s="110">
        <v>0</v>
      </c>
      <c r="L39" s="110">
        <f>'Carlton Co'!U72</f>
        <v>29680</v>
      </c>
      <c r="M39" s="110">
        <f>'St. Louis Co'!U72</f>
        <v>334520</v>
      </c>
      <c r="N39" s="110">
        <v>0</v>
      </c>
      <c r="O39" s="110">
        <v>0</v>
      </c>
      <c r="P39" s="110">
        <v>0</v>
      </c>
      <c r="Q39" s="110">
        <f>'Scott Co'!U72</f>
        <v>283500</v>
      </c>
      <c r="R39" s="110">
        <v>0</v>
      </c>
      <c r="S39" s="110">
        <f>'Otter Tail Co'!U72</f>
        <v>103426</v>
      </c>
      <c r="T39" s="110">
        <v>0</v>
      </c>
      <c r="U39" s="110">
        <v>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0">
        <v>0</v>
      </c>
      <c r="AE39" s="110">
        <f>'Dakota Co'!U72</f>
        <v>1416340</v>
      </c>
      <c r="AF39" s="110">
        <f>'Ramsey Co'!U72</f>
        <v>1189300</v>
      </c>
      <c r="AG39" s="110">
        <f>'Washington Co'!U72</f>
        <v>312780</v>
      </c>
      <c r="AH39" s="110">
        <f>'Anoka Co'!U72</f>
        <v>1014180</v>
      </c>
      <c r="AI39" s="110">
        <f>'Hennepin Co'!U72</f>
        <v>2620640</v>
      </c>
      <c r="AJ39" s="110">
        <f>'Carver Co'!U72</f>
        <v>55520</v>
      </c>
      <c r="AK39" s="110">
        <v>0</v>
      </c>
      <c r="AL39" s="110">
        <v>0</v>
      </c>
      <c r="AM39" s="110">
        <v>0</v>
      </c>
      <c r="AN39" s="110">
        <v>0</v>
      </c>
      <c r="AO39" s="110">
        <v>0</v>
      </c>
      <c r="AP39" s="110">
        <v>0</v>
      </c>
      <c r="AQ39" s="110">
        <f>'Kandiyohi Co'!U72</f>
        <v>66440</v>
      </c>
      <c r="AR39" s="110">
        <v>0</v>
      </c>
      <c r="AS39" s="110">
        <f>'Goodhue Co'!U72</f>
        <v>109800</v>
      </c>
      <c r="AT39" s="110">
        <v>0</v>
      </c>
      <c r="AU39" s="110">
        <v>0</v>
      </c>
      <c r="AV39" s="110">
        <v>0</v>
      </c>
      <c r="AW39" s="110">
        <v>0</v>
      </c>
      <c r="AX39" s="110">
        <v>0</v>
      </c>
      <c r="AY39" s="110">
        <v>0</v>
      </c>
      <c r="AZ39" s="110">
        <v>0</v>
      </c>
      <c r="BA39" s="110">
        <v>0</v>
      </c>
      <c r="BB39" s="110">
        <v>0</v>
      </c>
      <c r="BC39" s="110">
        <v>0</v>
      </c>
      <c r="BD39" s="110">
        <v>0</v>
      </c>
      <c r="BE39" s="110">
        <v>0</v>
      </c>
      <c r="BF39" s="110">
        <v>0</v>
      </c>
      <c r="BG39" s="110">
        <v>0</v>
      </c>
      <c r="BH39" s="42">
        <f>SUM(C39:BG39)</f>
        <v>7599746</v>
      </c>
    </row>
    <row r="40" spans="1:60" x14ac:dyDescent="0.2">
      <c r="BH40" s="42"/>
    </row>
    <row r="41" spans="1:60" x14ac:dyDescent="0.2">
      <c r="B41" s="139" t="s">
        <v>52</v>
      </c>
      <c r="C41" s="127">
        <f t="shared" ref="C41:N41" si="13">C18+C36+C39</f>
        <v>-424536</v>
      </c>
      <c r="D41" s="127">
        <f t="shared" si="13"/>
        <v>18666825</v>
      </c>
      <c r="E41" s="127">
        <f t="shared" si="13"/>
        <v>4954239</v>
      </c>
      <c r="F41" s="127">
        <f t="shared" si="13"/>
        <v>1072228</v>
      </c>
      <c r="G41" s="127">
        <f t="shared" si="13"/>
        <v>4705665</v>
      </c>
      <c r="H41" s="127">
        <f t="shared" si="13"/>
        <v>3814635</v>
      </c>
      <c r="I41" s="127">
        <f t="shared" si="13"/>
        <v>5126470</v>
      </c>
      <c r="J41" s="127">
        <f t="shared" si="13"/>
        <v>1327709</v>
      </c>
      <c r="K41" s="127">
        <f t="shared" si="13"/>
        <v>1458679</v>
      </c>
      <c r="L41" s="127">
        <f t="shared" si="13"/>
        <v>2636212</v>
      </c>
      <c r="M41" s="127">
        <f t="shared" si="13"/>
        <v>21631262</v>
      </c>
      <c r="N41" s="127">
        <f t="shared" si="13"/>
        <v>3910417</v>
      </c>
      <c r="O41" s="127">
        <f t="shared" ref="O41:AK41" si="14">O18+O36+O39</f>
        <v>1967092</v>
      </c>
      <c r="P41" s="127">
        <f t="shared" si="14"/>
        <v>-17285</v>
      </c>
      <c r="Q41" s="127">
        <f t="shared" si="14"/>
        <v>15449615</v>
      </c>
      <c r="R41" s="127">
        <f t="shared" si="14"/>
        <v>2763760</v>
      </c>
      <c r="S41" s="127">
        <f t="shared" si="14"/>
        <v>5668094</v>
      </c>
      <c r="T41" s="127">
        <f t="shared" si="14"/>
        <v>3102539</v>
      </c>
      <c r="U41" s="127">
        <f t="shared" si="14"/>
        <v>2494447</v>
      </c>
      <c r="V41" s="127">
        <f t="shared" si="14"/>
        <v>9808707</v>
      </c>
      <c r="W41" s="127">
        <f t="shared" si="14"/>
        <v>1478352</v>
      </c>
      <c r="X41" s="127">
        <f t="shared" si="14"/>
        <v>3661018</v>
      </c>
      <c r="Y41" s="127">
        <f t="shared" si="14"/>
        <v>8752823</v>
      </c>
      <c r="Z41" s="127">
        <f t="shared" si="14"/>
        <v>1240096</v>
      </c>
      <c r="AA41" s="127">
        <f t="shared" si="14"/>
        <v>4079325</v>
      </c>
      <c r="AB41" s="127">
        <f t="shared" si="14"/>
        <v>1897209</v>
      </c>
      <c r="AC41" s="127">
        <f t="shared" si="14"/>
        <v>1976180</v>
      </c>
      <c r="AD41" s="127">
        <f t="shared" si="14"/>
        <v>1265844</v>
      </c>
      <c r="AE41" s="127">
        <f t="shared" si="14"/>
        <v>24661658</v>
      </c>
      <c r="AF41" s="127">
        <f t="shared" si="14"/>
        <v>55258258</v>
      </c>
      <c r="AG41" s="127">
        <f t="shared" si="14"/>
        <v>28719593</v>
      </c>
      <c r="AH41" s="127">
        <f t="shared" si="14"/>
        <v>16636342</v>
      </c>
      <c r="AI41" s="127">
        <f t="shared" si="14"/>
        <v>167185019</v>
      </c>
      <c r="AJ41" s="127">
        <f t="shared" si="14"/>
        <v>10695516</v>
      </c>
      <c r="AK41" s="127">
        <f t="shared" si="14"/>
        <v>12665904</v>
      </c>
      <c r="AL41" s="127">
        <f t="shared" ref="AL41:AQ41" si="15">AL18+AL36+AL39</f>
        <v>1143582</v>
      </c>
      <c r="AM41" s="127">
        <f t="shared" si="15"/>
        <v>2603159</v>
      </c>
      <c r="AN41" s="127">
        <f t="shared" si="15"/>
        <v>2195920</v>
      </c>
      <c r="AO41" s="127">
        <f t="shared" si="15"/>
        <v>8768147</v>
      </c>
      <c r="AP41" s="127">
        <f t="shared" si="15"/>
        <v>2628396</v>
      </c>
      <c r="AQ41" s="127">
        <f t="shared" si="15"/>
        <v>4772953</v>
      </c>
      <c r="AR41" s="127">
        <f>AR18+AR36+AR39</f>
        <v>1202948</v>
      </c>
      <c r="AS41" s="127">
        <f t="shared" ref="AS41" si="16">AS18+AS36+AS39</f>
        <v>4594927</v>
      </c>
      <c r="AT41" s="127">
        <f t="shared" ref="AT41:AX41" si="17">AT18+AT36+AT39</f>
        <v>8339999</v>
      </c>
      <c r="AU41" s="127">
        <f t="shared" si="17"/>
        <v>1065470</v>
      </c>
      <c r="AV41" s="127">
        <f t="shared" si="17"/>
        <v>1258908</v>
      </c>
      <c r="AW41" s="127">
        <f t="shared" si="17"/>
        <v>3441871</v>
      </c>
      <c r="AX41" s="127">
        <f t="shared" si="17"/>
        <v>3946587</v>
      </c>
      <c r="AY41" s="127">
        <f t="shared" ref="AY41:AZ41" si="18">AY18+AY36+AY39</f>
        <v>3265919</v>
      </c>
      <c r="AZ41" s="127">
        <f t="shared" si="18"/>
        <v>1014147</v>
      </c>
      <c r="BA41" s="127">
        <f t="shared" ref="BA41:BG41" si="19">BA18+BA36+BA39</f>
        <v>1743847</v>
      </c>
      <c r="BB41" s="127">
        <f t="shared" si="19"/>
        <v>1712644</v>
      </c>
      <c r="BC41" s="127">
        <f t="shared" si="19"/>
        <v>1298906</v>
      </c>
      <c r="BD41" s="127">
        <f t="shared" si="19"/>
        <v>953946</v>
      </c>
      <c r="BE41" s="127">
        <f t="shared" si="19"/>
        <v>405973</v>
      </c>
      <c r="BF41" s="127">
        <f t="shared" si="19"/>
        <v>755766</v>
      </c>
      <c r="BG41" s="127">
        <f t="shared" si="19"/>
        <v>79291339</v>
      </c>
      <c r="BH41" s="127">
        <f>BH18+BH36+BH39</f>
        <v>586695265</v>
      </c>
    </row>
    <row r="42" spans="1:60" x14ac:dyDescent="0.2">
      <c r="S42" s="42"/>
    </row>
    <row r="43" spans="1:60" x14ac:dyDescent="0.2">
      <c r="S43" s="42"/>
    </row>
    <row r="44" spans="1:60" x14ac:dyDescent="0.2">
      <c r="S44" s="42"/>
      <c r="BD44" s="128" t="s">
        <v>350</v>
      </c>
      <c r="BE44" s="129"/>
      <c r="BF44" s="129"/>
      <c r="BG44" s="130"/>
    </row>
    <row r="45" spans="1:60" x14ac:dyDescent="0.2">
      <c r="S45" s="42"/>
      <c r="BD45" s="131" t="s">
        <v>171</v>
      </c>
      <c r="BE45" s="132"/>
      <c r="BF45" s="132"/>
      <c r="BG45" s="133">
        <f>BH37</f>
        <v>579095519</v>
      </c>
    </row>
    <row r="46" spans="1:60" x14ac:dyDescent="0.2">
      <c r="BD46" s="131" t="s">
        <v>172</v>
      </c>
      <c r="BE46" s="132"/>
      <c r="BF46" s="132"/>
      <c r="BG46" s="133">
        <f>BH39</f>
        <v>7599746</v>
      </c>
    </row>
    <row r="47" spans="1:60" x14ac:dyDescent="0.2">
      <c r="AJ47" s="1"/>
      <c r="BD47" s="134" t="s">
        <v>52</v>
      </c>
      <c r="BE47" s="135"/>
      <c r="BF47" s="135"/>
      <c r="BG47" s="136">
        <f>SUM(BG45:BG46)</f>
        <v>586695265</v>
      </c>
    </row>
    <row r="48" spans="1:60" x14ac:dyDescent="0.2">
      <c r="AJ48" s="1"/>
      <c r="BD48" s="170"/>
    </row>
    <row r="49" spans="36:60" x14ac:dyDescent="0.2">
      <c r="AJ49" s="1"/>
      <c r="BD49" s="128" t="s">
        <v>352</v>
      </c>
      <c r="BE49" s="129"/>
      <c r="BF49" s="129"/>
      <c r="BG49" s="130"/>
    </row>
    <row r="50" spans="36:60" x14ac:dyDescent="0.2">
      <c r="AJ50" s="1"/>
      <c r="BD50" s="131" t="s">
        <v>171</v>
      </c>
      <c r="BE50" s="132"/>
      <c r="BF50" s="132"/>
      <c r="BG50" s="133">
        <f>BG45+'TotalCY23 Cities'!BH49</f>
        <v>889318869</v>
      </c>
    </row>
    <row r="51" spans="36:60" x14ac:dyDescent="0.2">
      <c r="AJ51" s="1"/>
      <c r="BD51" s="131" t="s">
        <v>172</v>
      </c>
      <c r="BE51" s="132"/>
      <c r="BF51" s="132"/>
      <c r="BG51" s="133">
        <f>BG46+'TotalCY23 Cities'!BH50</f>
        <v>85186039</v>
      </c>
    </row>
    <row r="52" spans="36:60" x14ac:dyDescent="0.2">
      <c r="AJ52" s="1"/>
      <c r="BD52" s="134" t="s">
        <v>52</v>
      </c>
      <c r="BE52" s="135"/>
      <c r="BF52" s="135"/>
      <c r="BG52" s="136">
        <f>SUM(BG50:BG51)</f>
        <v>974504908</v>
      </c>
      <c r="BH52" s="2"/>
    </row>
  </sheetData>
  <pageMargins left="0" right="0" top="0.61" bottom="0.79" header="0.21" footer="0.31"/>
  <pageSetup scale="91" fitToWidth="0" orientation="landscape" r:id="rId1"/>
  <headerFooter alignWithMargins="0">
    <oddHeader>&amp;A</oddHeader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5.85546875" bestFit="1" customWidth="1"/>
    <col min="2" max="5" width="10.140625" bestFit="1" customWidth="1"/>
    <col min="6" max="6" width="10.28515625" bestFit="1" customWidth="1"/>
    <col min="7" max="11" width="10.140625" bestFit="1" customWidth="1"/>
    <col min="12" max="12" width="10.7109375" customWidth="1"/>
    <col min="13" max="13" width="10.7109375" bestFit="1" customWidth="1"/>
    <col min="14" max="21" width="11.7109375" bestFit="1" customWidth="1"/>
  </cols>
  <sheetData>
    <row r="2" spans="1:21" x14ac:dyDescent="0.2">
      <c r="A2" s="24" t="s">
        <v>40</v>
      </c>
      <c r="B2" s="148">
        <v>5.0000000000000001E-3</v>
      </c>
      <c r="C2" s="94" t="s">
        <v>193</v>
      </c>
    </row>
    <row r="3" spans="1:21" x14ac:dyDescent="0.2">
      <c r="A3" s="25"/>
      <c r="B3" s="16">
        <v>2004</v>
      </c>
      <c r="C3" s="18">
        <v>2005</v>
      </c>
      <c r="D3" s="18">
        <v>2006</v>
      </c>
      <c r="E3" s="18">
        <v>2007</v>
      </c>
      <c r="F3" s="18">
        <v>2008</v>
      </c>
      <c r="G3" s="18">
        <v>2009</v>
      </c>
      <c r="H3" s="18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C4" s="42"/>
      <c r="D4" s="42"/>
      <c r="E4" s="42"/>
      <c r="F4" s="42"/>
      <c r="G4" s="42"/>
      <c r="L4" s="94"/>
    </row>
    <row r="5" spans="1:21" x14ac:dyDescent="0.2">
      <c r="A5" s="26" t="s">
        <v>0</v>
      </c>
      <c r="B5" s="47">
        <v>603600.85</v>
      </c>
      <c r="C5" s="47">
        <v>639683.30000000005</v>
      </c>
      <c r="D5" s="42">
        <v>649724.92000000004</v>
      </c>
      <c r="E5" s="42">
        <v>846078.51</v>
      </c>
      <c r="F5" s="42">
        <f>832546.22+55</f>
        <v>832601.22</v>
      </c>
      <c r="G5" s="42">
        <v>837350</v>
      </c>
      <c r="H5" s="42">
        <v>789415</v>
      </c>
      <c r="I5" s="2">
        <v>832243</v>
      </c>
      <c r="J5" s="2">
        <v>872036</v>
      </c>
      <c r="K5" s="2">
        <v>882843</v>
      </c>
      <c r="L5" s="102">
        <v>856712</v>
      </c>
      <c r="M5" s="117">
        <v>898032</v>
      </c>
      <c r="N5" s="117">
        <v>1007753</v>
      </c>
      <c r="O5" s="117">
        <v>986658</v>
      </c>
      <c r="P5" s="117">
        <v>936366</v>
      </c>
      <c r="Q5" s="117">
        <v>966208</v>
      </c>
      <c r="R5" s="1">
        <v>1017120</v>
      </c>
      <c r="S5" s="1">
        <v>1043908</v>
      </c>
      <c r="T5" s="1">
        <v>1123123</v>
      </c>
      <c r="U5" s="1">
        <v>1202272</v>
      </c>
    </row>
    <row r="6" spans="1:21" x14ac:dyDescent="0.2">
      <c r="A6" s="26" t="s">
        <v>1</v>
      </c>
      <c r="B6" s="47">
        <v>373612.15</v>
      </c>
      <c r="C6" s="47">
        <v>416695.3</v>
      </c>
      <c r="D6" s="42">
        <v>526480.16</v>
      </c>
      <c r="E6" s="42">
        <f>582769.51-339</f>
        <v>582430.51</v>
      </c>
      <c r="F6" s="42">
        <v>588619.86</v>
      </c>
      <c r="G6" s="42">
        <v>698070</v>
      </c>
      <c r="H6" s="42">
        <v>542224</v>
      </c>
      <c r="I6" s="2">
        <v>574703</v>
      </c>
      <c r="J6" s="2">
        <v>584503</v>
      </c>
      <c r="K6" s="2">
        <v>653519</v>
      </c>
      <c r="L6" s="102">
        <v>677033</v>
      </c>
      <c r="M6" s="117">
        <v>675935</v>
      </c>
      <c r="N6" s="117">
        <v>710967</v>
      </c>
      <c r="O6" s="117">
        <v>709789</v>
      </c>
      <c r="P6" s="117">
        <v>728835</v>
      </c>
      <c r="Q6" s="117">
        <v>767182</v>
      </c>
      <c r="R6" s="1">
        <v>783718</v>
      </c>
      <c r="S6" s="1">
        <v>840979</v>
      </c>
      <c r="T6" s="1">
        <v>966621</v>
      </c>
      <c r="U6" s="1">
        <v>929889</v>
      </c>
    </row>
    <row r="7" spans="1:21" x14ac:dyDescent="0.2">
      <c r="A7" s="26" t="s">
        <v>2</v>
      </c>
      <c r="B7" s="47">
        <v>381070.71</v>
      </c>
      <c r="C7" s="47">
        <v>398847.07</v>
      </c>
      <c r="D7" s="42">
        <v>540110.80000000005</v>
      </c>
      <c r="E7" s="42">
        <f>565316.59-8</f>
        <v>565308.59</v>
      </c>
      <c r="F7" s="42">
        <f>579234.91+69</f>
        <v>579303.91</v>
      </c>
      <c r="G7" s="42">
        <v>566831</v>
      </c>
      <c r="H7" s="42">
        <v>537245</v>
      </c>
      <c r="I7" s="2">
        <v>599372</v>
      </c>
      <c r="J7" s="2">
        <v>603463</v>
      </c>
      <c r="K7" s="2">
        <v>645214</v>
      </c>
      <c r="L7" s="106">
        <v>627434</v>
      </c>
      <c r="M7" s="117">
        <v>677269</v>
      </c>
      <c r="N7" s="117">
        <v>746488</v>
      </c>
      <c r="O7" s="117">
        <v>719425</v>
      </c>
      <c r="P7" s="117">
        <v>678113</v>
      </c>
      <c r="Q7" s="117">
        <v>713677</v>
      </c>
      <c r="R7" s="1">
        <v>733281</v>
      </c>
      <c r="S7" s="1">
        <v>817762</v>
      </c>
      <c r="T7" s="1">
        <v>939200</v>
      </c>
      <c r="U7" s="1">
        <v>912162</v>
      </c>
    </row>
    <row r="8" spans="1:21" x14ac:dyDescent="0.2">
      <c r="A8" s="26" t="s">
        <v>3</v>
      </c>
      <c r="B8" s="47">
        <v>442729.42</v>
      </c>
      <c r="C8" s="47">
        <v>477768.4</v>
      </c>
      <c r="D8" s="42">
        <v>645420.91</v>
      </c>
      <c r="E8" s="42">
        <v>656743.29</v>
      </c>
      <c r="F8" s="42">
        <f>645980.4+355</f>
        <v>646335.4</v>
      </c>
      <c r="G8" s="42">
        <v>628806</v>
      </c>
      <c r="H8" s="42">
        <v>639725</v>
      </c>
      <c r="I8" s="2">
        <v>643905</v>
      </c>
      <c r="J8" s="2">
        <v>701784</v>
      </c>
      <c r="K8" s="2">
        <v>701643</v>
      </c>
      <c r="L8" s="106">
        <v>712161</v>
      </c>
      <c r="M8" s="117">
        <v>760493</v>
      </c>
      <c r="N8" s="117">
        <v>821783</v>
      </c>
      <c r="O8" s="117">
        <v>810230</v>
      </c>
      <c r="P8" s="117">
        <v>807097</v>
      </c>
      <c r="Q8" s="117">
        <v>850647</v>
      </c>
      <c r="R8" s="1">
        <v>782618</v>
      </c>
      <c r="S8" s="1">
        <v>1046108</v>
      </c>
      <c r="T8" s="1">
        <v>1206934</v>
      </c>
      <c r="U8" s="1">
        <v>1102649</v>
      </c>
    </row>
    <row r="9" spans="1:21" x14ac:dyDescent="0.2">
      <c r="A9" s="26" t="s">
        <v>4</v>
      </c>
      <c r="B9" s="47">
        <v>410716.79</v>
      </c>
      <c r="C9" s="47">
        <v>435222.8</v>
      </c>
      <c r="D9" s="42">
        <v>590440.5</v>
      </c>
      <c r="E9" s="42">
        <f>626135.97-24</f>
        <v>626111.97</v>
      </c>
      <c r="F9" s="42">
        <f>617298.54-138</f>
        <v>617160.54</v>
      </c>
      <c r="G9" s="42">
        <v>602309</v>
      </c>
      <c r="H9" s="42">
        <v>623202</v>
      </c>
      <c r="I9" s="2">
        <v>668437</v>
      </c>
      <c r="J9" s="2">
        <v>679731</v>
      </c>
      <c r="K9" s="2">
        <v>685135</v>
      </c>
      <c r="L9" s="106">
        <v>698912</v>
      </c>
      <c r="M9" s="117">
        <v>744767</v>
      </c>
      <c r="N9" s="117">
        <v>821925</v>
      </c>
      <c r="O9" s="117">
        <v>800932</v>
      </c>
      <c r="P9" s="117">
        <v>783274</v>
      </c>
      <c r="Q9" s="117">
        <v>904662</v>
      </c>
      <c r="R9" s="1">
        <v>770609</v>
      </c>
      <c r="S9" s="1">
        <v>1007719</v>
      </c>
      <c r="T9" s="1">
        <v>1031654</v>
      </c>
      <c r="U9" s="1">
        <v>1094285</v>
      </c>
    </row>
    <row r="10" spans="1:21" x14ac:dyDescent="0.2">
      <c r="A10" s="26" t="s">
        <v>5</v>
      </c>
      <c r="B10" s="47">
        <v>427514.93</v>
      </c>
      <c r="C10" s="47">
        <v>459267.23</v>
      </c>
      <c r="D10" s="42">
        <v>643622.05000000005</v>
      </c>
      <c r="E10" s="42">
        <f>665065.68-102</f>
        <v>664963.68000000005</v>
      </c>
      <c r="F10" s="42">
        <v>673089.56</v>
      </c>
      <c r="G10" s="42">
        <v>630650</v>
      </c>
      <c r="H10" s="42">
        <v>636996</v>
      </c>
      <c r="I10" s="2">
        <v>701012</v>
      </c>
      <c r="J10" s="2">
        <v>708338</v>
      </c>
      <c r="K10" s="2">
        <v>763273</v>
      </c>
      <c r="L10" s="106">
        <v>807531</v>
      </c>
      <c r="M10" s="117">
        <v>791482</v>
      </c>
      <c r="N10" s="117">
        <v>868776</v>
      </c>
      <c r="O10" s="117">
        <v>872262</v>
      </c>
      <c r="P10" s="117">
        <v>912837</v>
      </c>
      <c r="Q10" s="117">
        <v>959279</v>
      </c>
      <c r="R10" s="1">
        <v>868765</v>
      </c>
      <c r="S10" s="1">
        <v>1069997</v>
      </c>
      <c r="T10" s="1">
        <v>1285341</v>
      </c>
      <c r="U10" s="1">
        <v>1245169</v>
      </c>
    </row>
    <row r="11" spans="1:21" x14ac:dyDescent="0.2">
      <c r="A11" s="26" t="s">
        <v>6</v>
      </c>
      <c r="B11" s="47">
        <v>374742.79</v>
      </c>
      <c r="C11" s="47">
        <v>360424.87</v>
      </c>
      <c r="D11" s="42">
        <v>529534.44999999995</v>
      </c>
      <c r="E11" s="42">
        <f>606089.69+4399</f>
        <v>610488.68999999994</v>
      </c>
      <c r="F11" s="42">
        <v>591468.39</v>
      </c>
      <c r="G11" s="42">
        <v>532584</v>
      </c>
      <c r="H11" s="42">
        <v>640309</v>
      </c>
      <c r="I11" s="2">
        <v>600313</v>
      </c>
      <c r="J11" s="2">
        <v>677201</v>
      </c>
      <c r="K11" s="2">
        <v>651684</v>
      </c>
      <c r="L11" s="106">
        <v>732774</v>
      </c>
      <c r="M11" s="117">
        <v>689109</v>
      </c>
      <c r="N11" s="117">
        <v>792369</v>
      </c>
      <c r="O11" s="117">
        <v>816278</v>
      </c>
      <c r="P11" s="117">
        <v>775926</v>
      </c>
      <c r="Q11" s="117">
        <v>830644</v>
      </c>
      <c r="R11" s="1">
        <v>896805</v>
      </c>
      <c r="S11" s="1">
        <v>1064673</v>
      </c>
      <c r="T11" s="1">
        <v>1139321</v>
      </c>
      <c r="U11" s="1">
        <v>1292428</v>
      </c>
    </row>
    <row r="12" spans="1:21" x14ac:dyDescent="0.2">
      <c r="A12" s="26" t="s">
        <v>7</v>
      </c>
      <c r="B12" s="47">
        <v>534791</v>
      </c>
      <c r="C12" s="47">
        <v>577598.15</v>
      </c>
      <c r="D12" s="42">
        <v>753504.04</v>
      </c>
      <c r="E12" s="42">
        <v>744404.47</v>
      </c>
      <c r="F12" s="47">
        <f>744015.02-86</f>
        <v>743929.02</v>
      </c>
      <c r="G12" s="42">
        <v>742900</v>
      </c>
      <c r="H12" s="42">
        <v>724512</v>
      </c>
      <c r="I12" s="2">
        <v>662427</v>
      </c>
      <c r="J12" s="2">
        <v>814335</v>
      </c>
      <c r="K12" s="2">
        <v>885310</v>
      </c>
      <c r="L12" s="106">
        <v>850168</v>
      </c>
      <c r="M12" s="117">
        <v>953692</v>
      </c>
      <c r="N12" s="117">
        <v>930727</v>
      </c>
      <c r="O12" s="117">
        <v>940694</v>
      </c>
      <c r="P12" s="117">
        <v>984302</v>
      </c>
      <c r="Q12" s="117">
        <v>1000777</v>
      </c>
      <c r="R12" s="1">
        <v>1018805</v>
      </c>
      <c r="S12" s="1">
        <v>1152062</v>
      </c>
      <c r="T12" s="1">
        <v>1120005</v>
      </c>
      <c r="U12" s="1">
        <v>1118940</v>
      </c>
    </row>
    <row r="13" spans="1:21" x14ac:dyDescent="0.2">
      <c r="A13" s="26" t="s">
        <v>8</v>
      </c>
      <c r="B13" s="47">
        <v>453387.02</v>
      </c>
      <c r="C13" s="47">
        <v>475711.79</v>
      </c>
      <c r="D13" s="42">
        <v>687874.18</v>
      </c>
      <c r="E13" s="42">
        <f>688686.31+34</f>
        <v>688720.31</v>
      </c>
      <c r="F13" s="42">
        <f>698858.45-405</f>
        <v>698453.45</v>
      </c>
      <c r="G13" s="42">
        <v>597182</v>
      </c>
      <c r="H13" s="42">
        <v>636942</v>
      </c>
      <c r="I13" s="2">
        <v>777405</v>
      </c>
      <c r="J13" s="2">
        <v>739732</v>
      </c>
      <c r="K13" s="2">
        <v>782128</v>
      </c>
      <c r="L13" s="106">
        <v>759587</v>
      </c>
      <c r="M13" s="117">
        <v>803677</v>
      </c>
      <c r="N13" s="117">
        <v>872778</v>
      </c>
      <c r="O13" s="117">
        <v>869362</v>
      </c>
      <c r="P13" s="117">
        <v>897538</v>
      </c>
      <c r="Q13" s="117">
        <v>936433</v>
      </c>
      <c r="R13" s="2">
        <v>917136</v>
      </c>
      <c r="S13" s="1">
        <v>1050154</v>
      </c>
      <c r="T13" s="1">
        <v>1206606</v>
      </c>
      <c r="U13" s="1">
        <v>1203255</v>
      </c>
    </row>
    <row r="14" spans="1:21" x14ac:dyDescent="0.2">
      <c r="A14" s="26" t="s">
        <v>9</v>
      </c>
      <c r="B14" s="47">
        <v>476348.31</v>
      </c>
      <c r="C14" s="47">
        <v>494590.24</v>
      </c>
      <c r="D14" s="42">
        <v>679554.01</v>
      </c>
      <c r="E14" s="42">
        <f>674624.35-7</f>
        <v>674617.35</v>
      </c>
      <c r="F14" s="42">
        <f>683078.3+316+6358.14-17-21</f>
        <v>689714.44000000006</v>
      </c>
      <c r="G14" s="42">
        <v>657106</v>
      </c>
      <c r="H14" s="42">
        <v>688894</v>
      </c>
      <c r="I14" s="2">
        <v>727532</v>
      </c>
      <c r="J14" s="2">
        <v>732657</v>
      </c>
      <c r="K14" s="2">
        <v>769911</v>
      </c>
      <c r="L14" s="106">
        <v>761116</v>
      </c>
      <c r="M14" s="117">
        <v>809672</v>
      </c>
      <c r="N14" s="117">
        <v>867758</v>
      </c>
      <c r="O14" s="117">
        <v>843484</v>
      </c>
      <c r="P14" s="117">
        <v>796013</v>
      </c>
      <c r="Q14" s="117">
        <v>885398</v>
      </c>
      <c r="R14" s="1">
        <v>908791</v>
      </c>
      <c r="S14" s="1">
        <v>1063121</v>
      </c>
      <c r="T14" s="1">
        <v>1146328</v>
      </c>
      <c r="U14" s="1">
        <v>1162714</v>
      </c>
    </row>
    <row r="15" spans="1:21" x14ac:dyDescent="0.2">
      <c r="A15" s="26" t="s">
        <v>10</v>
      </c>
      <c r="B15" s="47">
        <v>434645.35</v>
      </c>
      <c r="C15" s="47">
        <v>465934.4</v>
      </c>
      <c r="D15" s="42">
        <v>626130.49</v>
      </c>
      <c r="E15" s="42">
        <f>655429.61+104</f>
        <v>655533.61</v>
      </c>
      <c r="F15" s="42"/>
      <c r="G15" s="42">
        <v>619821</v>
      </c>
      <c r="H15" s="42">
        <v>637415</v>
      </c>
      <c r="I15" s="2">
        <v>669874</v>
      </c>
      <c r="J15" s="2">
        <v>706994</v>
      </c>
      <c r="K15" s="2">
        <v>740744</v>
      </c>
      <c r="L15" s="106">
        <v>760262</v>
      </c>
      <c r="M15" s="117">
        <v>787235</v>
      </c>
      <c r="N15" s="117">
        <v>810453</v>
      </c>
      <c r="O15" s="117">
        <v>879127</v>
      </c>
      <c r="P15" s="117">
        <v>881309</v>
      </c>
      <c r="Q15" s="117">
        <v>914387</v>
      </c>
      <c r="R15" s="1">
        <v>876009</v>
      </c>
      <c r="S15" s="1">
        <v>1029633</v>
      </c>
      <c r="T15" s="1">
        <v>1116452</v>
      </c>
      <c r="U15" s="1">
        <v>1091240</v>
      </c>
    </row>
    <row r="16" spans="1:21" x14ac:dyDescent="0.2">
      <c r="A16" s="26" t="s">
        <v>11</v>
      </c>
      <c r="B16" s="63">
        <v>475863.76</v>
      </c>
      <c r="C16" s="63">
        <v>481636.13</v>
      </c>
      <c r="D16" s="63">
        <v>672021.31</v>
      </c>
      <c r="E16" s="63">
        <f>759731.88-387</f>
        <v>759344.88</v>
      </c>
      <c r="F16" s="63">
        <v>1092966</v>
      </c>
      <c r="G16" s="48">
        <v>607858</v>
      </c>
      <c r="H16" s="39">
        <v>640118</v>
      </c>
      <c r="I16" s="40">
        <v>667506</v>
      </c>
      <c r="J16" s="40">
        <v>695839</v>
      </c>
      <c r="K16" s="40">
        <v>725450</v>
      </c>
      <c r="L16" s="95">
        <v>784699</v>
      </c>
      <c r="M16" s="95">
        <v>769275</v>
      </c>
      <c r="N16" s="95">
        <v>806208</v>
      </c>
      <c r="O16" s="95">
        <v>793249</v>
      </c>
      <c r="P16" s="95">
        <v>888400</v>
      </c>
      <c r="Q16" s="95">
        <v>874027</v>
      </c>
      <c r="R16" s="1">
        <v>900972</v>
      </c>
      <c r="S16" s="1">
        <v>1008807</v>
      </c>
      <c r="T16" s="1">
        <v>1273329</v>
      </c>
      <c r="U16" s="1">
        <v>1095464</v>
      </c>
    </row>
    <row r="17" spans="1:21" x14ac:dyDescent="0.2">
      <c r="A17" s="25"/>
      <c r="B17" s="64">
        <f t="shared" ref="B17:H17" si="0">SUM(B5:B16)</f>
        <v>5389023.0799999991</v>
      </c>
      <c r="C17" s="64">
        <f t="shared" si="0"/>
        <v>5683379.6800000006</v>
      </c>
      <c r="D17" s="44">
        <f t="shared" si="0"/>
        <v>7544417.8200000003</v>
      </c>
      <c r="E17" s="44">
        <f t="shared" si="0"/>
        <v>8074745.8599999994</v>
      </c>
      <c r="F17" s="44">
        <f t="shared" si="0"/>
        <v>7753641.790000001</v>
      </c>
      <c r="G17" s="44">
        <f t="shared" si="0"/>
        <v>7721467</v>
      </c>
      <c r="H17" s="44">
        <f t="shared" si="0"/>
        <v>7736997</v>
      </c>
      <c r="I17" s="44">
        <f t="shared" ref="I17:N17" si="1">SUM(I5:I16)</f>
        <v>8124729</v>
      </c>
      <c r="J17" s="44">
        <f t="shared" si="1"/>
        <v>8516613</v>
      </c>
      <c r="K17" s="44">
        <f t="shared" si="1"/>
        <v>8886854</v>
      </c>
      <c r="L17" s="96">
        <f t="shared" si="1"/>
        <v>9028389</v>
      </c>
      <c r="M17" s="96">
        <f t="shared" si="1"/>
        <v>9360638</v>
      </c>
      <c r="N17" s="96">
        <f t="shared" si="1"/>
        <v>10057985</v>
      </c>
      <c r="O17" s="96">
        <f t="shared" ref="O17:P17" si="2">SUM(O5:O16)</f>
        <v>10041490</v>
      </c>
      <c r="P17" s="96">
        <f t="shared" si="2"/>
        <v>10070010</v>
      </c>
      <c r="Q17" s="96">
        <f t="shared" ref="Q17:S17" si="3">SUM(Q5:Q16)</f>
        <v>10603321</v>
      </c>
      <c r="R17" s="126">
        <f t="shared" ref="R17" si="4">SUM(R5:R16)</f>
        <v>10474629</v>
      </c>
      <c r="S17" s="126">
        <f t="shared" si="3"/>
        <v>12194923</v>
      </c>
      <c r="T17" s="126">
        <f t="shared" ref="T17:U17" si="5">SUM(T5:T16)</f>
        <v>13554914</v>
      </c>
      <c r="U17" s="126">
        <f t="shared" si="5"/>
        <v>13450467</v>
      </c>
    </row>
    <row r="18" spans="1:21" x14ac:dyDescent="0.2">
      <c r="A18" s="25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U18" s="176"/>
    </row>
    <row r="19" spans="1:21" x14ac:dyDescent="0.2">
      <c r="A19" s="25"/>
      <c r="F19" s="35" t="s">
        <v>110</v>
      </c>
      <c r="L19" s="94"/>
    </row>
    <row r="20" spans="1:21" x14ac:dyDescent="0.2">
      <c r="F20" s="35" t="s">
        <v>111</v>
      </c>
      <c r="L20" s="94"/>
    </row>
    <row r="21" spans="1:21" x14ac:dyDescent="0.2">
      <c r="A21" s="24" t="s">
        <v>41</v>
      </c>
      <c r="B21" s="148">
        <v>5.0000000000000001E-3</v>
      </c>
      <c r="C21" s="94" t="s">
        <v>193</v>
      </c>
      <c r="L21" s="94"/>
    </row>
    <row r="22" spans="1:21" x14ac:dyDescent="0.2">
      <c r="A22" s="25"/>
      <c r="B22" s="16">
        <v>2004</v>
      </c>
      <c r="C22" s="45">
        <v>2005</v>
      </c>
      <c r="D22" s="45">
        <v>2006</v>
      </c>
      <c r="E22" s="45">
        <v>2007</v>
      </c>
      <c r="F22" s="45">
        <v>2008</v>
      </c>
      <c r="G22" s="45">
        <v>2009</v>
      </c>
      <c r="H22" s="45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C23" s="65"/>
      <c r="D23" s="65"/>
      <c r="E23" s="65"/>
      <c r="F23" s="65"/>
      <c r="G23" s="65"/>
      <c r="H23" s="65"/>
    </row>
    <row r="24" spans="1:21" x14ac:dyDescent="0.2">
      <c r="A24" s="26" t="s">
        <v>0</v>
      </c>
      <c r="B24" s="47">
        <v>39186.92</v>
      </c>
      <c r="C24" s="47">
        <v>51810.11</v>
      </c>
      <c r="D24" s="42">
        <v>52068.24</v>
      </c>
      <c r="E24" s="42">
        <v>46903.9</v>
      </c>
      <c r="F24" s="42">
        <f>54284.74-55</f>
        <v>54229.74</v>
      </c>
      <c r="G24" s="42">
        <v>75455</v>
      </c>
      <c r="H24" s="42">
        <v>85062</v>
      </c>
      <c r="I24" s="2">
        <v>69747</v>
      </c>
      <c r="J24" s="2">
        <v>77192</v>
      </c>
      <c r="K24" s="2">
        <v>53674</v>
      </c>
      <c r="L24" s="102">
        <v>61044</v>
      </c>
      <c r="M24" s="117">
        <v>77938</v>
      </c>
      <c r="N24" s="117">
        <v>57166</v>
      </c>
      <c r="O24" s="117">
        <v>65332</v>
      </c>
      <c r="P24" s="117">
        <v>61933</v>
      </c>
      <c r="Q24" s="117">
        <v>53796</v>
      </c>
      <c r="R24" s="1">
        <v>34704</v>
      </c>
      <c r="S24" s="1">
        <v>46253</v>
      </c>
      <c r="T24" s="1">
        <v>-45112</v>
      </c>
      <c r="U24" s="1">
        <v>60076</v>
      </c>
    </row>
    <row r="25" spans="1:21" x14ac:dyDescent="0.2">
      <c r="A25" s="26" t="s">
        <v>1</v>
      </c>
      <c r="B25" s="47">
        <v>38661.440000000002</v>
      </c>
      <c r="C25" s="47">
        <v>45401.04</v>
      </c>
      <c r="D25" s="42">
        <v>46990.879999999997</v>
      </c>
      <c r="E25" s="42">
        <f>40049.11+339</f>
        <v>40388.11</v>
      </c>
      <c r="F25" s="42">
        <v>37148.67</v>
      </c>
      <c r="G25" s="42">
        <v>49215</v>
      </c>
      <c r="H25" s="42">
        <v>32915</v>
      </c>
      <c r="I25" s="2">
        <v>33155</v>
      </c>
      <c r="J25" s="2">
        <v>46681</v>
      </c>
      <c r="K25" s="2">
        <v>45819</v>
      </c>
      <c r="L25" s="102">
        <v>46449</v>
      </c>
      <c r="M25" s="117">
        <v>50720</v>
      </c>
      <c r="N25" s="117">
        <v>42628</v>
      </c>
      <c r="O25" s="117">
        <v>28149</v>
      </c>
      <c r="P25" s="117">
        <v>47831</v>
      </c>
      <c r="Q25" s="117">
        <v>37727</v>
      </c>
      <c r="R25" s="1">
        <v>42939</v>
      </c>
      <c r="S25" s="1">
        <v>35980</v>
      </c>
      <c r="T25" s="1">
        <v>38718</v>
      </c>
      <c r="U25" s="1">
        <v>109145</v>
      </c>
    </row>
    <row r="26" spans="1:21" x14ac:dyDescent="0.2">
      <c r="A26" s="26" t="s">
        <v>2</v>
      </c>
      <c r="B26" s="47">
        <v>19708.78</v>
      </c>
      <c r="C26" s="47">
        <v>28148.2</v>
      </c>
      <c r="D26" s="42">
        <v>37553.339999999997</v>
      </c>
      <c r="E26" s="42">
        <f>29339.46+8</f>
        <v>29347.46</v>
      </c>
      <c r="F26" s="42">
        <v>57167.98</v>
      </c>
      <c r="G26" s="42">
        <v>28309</v>
      </c>
      <c r="H26" s="42">
        <v>28891</v>
      </c>
      <c r="I26" s="2">
        <v>50275</v>
      </c>
      <c r="J26" s="2">
        <v>26943</v>
      </c>
      <c r="K26" s="2">
        <v>41596</v>
      </c>
      <c r="L26" s="102">
        <v>46501</v>
      </c>
      <c r="M26" s="117">
        <v>66989</v>
      </c>
      <c r="N26" s="117">
        <v>36289</v>
      </c>
      <c r="O26" s="117">
        <v>32942</v>
      </c>
      <c r="P26" s="117">
        <v>43593</v>
      </c>
      <c r="Q26" s="117">
        <v>40734</v>
      </c>
      <c r="R26" s="1">
        <v>141251</v>
      </c>
      <c r="S26" s="1">
        <v>40795</v>
      </c>
      <c r="T26" s="1">
        <v>51997</v>
      </c>
      <c r="U26" s="1">
        <v>34595</v>
      </c>
    </row>
    <row r="27" spans="1:21" x14ac:dyDescent="0.2">
      <c r="A27" s="26" t="s">
        <v>3</v>
      </c>
      <c r="B27" s="47">
        <v>33452.57</v>
      </c>
      <c r="C27" s="47">
        <v>39564.78</v>
      </c>
      <c r="D27" s="42">
        <v>81402.899999999994</v>
      </c>
      <c r="E27" s="42">
        <v>70330.31</v>
      </c>
      <c r="F27" s="42">
        <v>60769.88</v>
      </c>
      <c r="G27" s="42">
        <v>38849</v>
      </c>
      <c r="H27" s="42">
        <v>30259</v>
      </c>
      <c r="I27" s="2">
        <v>45716</v>
      </c>
      <c r="J27" s="2">
        <v>54567</v>
      </c>
      <c r="K27" s="2">
        <v>45553</v>
      </c>
      <c r="L27" s="102">
        <v>51285</v>
      </c>
      <c r="M27" s="117">
        <v>63974</v>
      </c>
      <c r="N27" s="117">
        <v>44699</v>
      </c>
      <c r="O27" s="117">
        <v>32120</v>
      </c>
      <c r="P27" s="117">
        <v>52180</v>
      </c>
      <c r="Q27" s="117">
        <v>50187</v>
      </c>
      <c r="R27" s="1">
        <v>32396</v>
      </c>
      <c r="S27" s="1">
        <v>51021</v>
      </c>
      <c r="T27" s="1">
        <v>122918</v>
      </c>
      <c r="U27" s="1">
        <v>66502</v>
      </c>
    </row>
    <row r="28" spans="1:21" x14ac:dyDescent="0.2">
      <c r="A28" s="26" t="s">
        <v>4</v>
      </c>
      <c r="B28" s="47">
        <v>28114.09</v>
      </c>
      <c r="C28" s="47">
        <v>47912.21</v>
      </c>
      <c r="D28" s="42">
        <v>46508.19</v>
      </c>
      <c r="E28" s="42">
        <f>48175.43+24</f>
        <v>48199.43</v>
      </c>
      <c r="F28" s="42">
        <v>70111.520000000004</v>
      </c>
      <c r="G28" s="42">
        <v>45042</v>
      </c>
      <c r="H28" s="42">
        <v>39453</v>
      </c>
      <c r="I28" s="2">
        <v>40575</v>
      </c>
      <c r="J28" s="2">
        <v>82788</v>
      </c>
      <c r="K28" s="2">
        <v>41375</v>
      </c>
      <c r="L28" s="102">
        <v>52205</v>
      </c>
      <c r="M28" s="117">
        <v>53953</v>
      </c>
      <c r="N28" s="117">
        <v>43841</v>
      </c>
      <c r="O28" s="117">
        <v>39071</v>
      </c>
      <c r="P28" s="117">
        <v>45544</v>
      </c>
      <c r="Q28" s="117">
        <v>48870</v>
      </c>
      <c r="R28" s="1">
        <v>22055</v>
      </c>
      <c r="S28" s="1">
        <v>46062</v>
      </c>
      <c r="T28" s="1">
        <v>55429</v>
      </c>
      <c r="U28" s="1">
        <v>44667</v>
      </c>
    </row>
    <row r="29" spans="1:21" x14ac:dyDescent="0.2">
      <c r="A29" s="26" t="s">
        <v>5</v>
      </c>
      <c r="B29" s="47">
        <v>36567.379999999997</v>
      </c>
      <c r="C29" s="47">
        <v>36781.550000000003</v>
      </c>
      <c r="D29" s="42">
        <v>48718.75</v>
      </c>
      <c r="E29" s="42">
        <v>44466.86</v>
      </c>
      <c r="F29" s="42">
        <v>62270.79</v>
      </c>
      <c r="G29" s="42">
        <v>29308</v>
      </c>
      <c r="H29" s="42">
        <v>37114</v>
      </c>
      <c r="I29" s="2">
        <v>38422</v>
      </c>
      <c r="J29" s="2">
        <v>52363</v>
      </c>
      <c r="K29" s="2">
        <v>47634</v>
      </c>
      <c r="L29" s="102">
        <v>56674</v>
      </c>
      <c r="M29" s="117">
        <v>51345</v>
      </c>
      <c r="N29" s="117">
        <v>48075</v>
      </c>
      <c r="O29" s="117">
        <v>43688</v>
      </c>
      <c r="P29" s="117">
        <v>54390</v>
      </c>
      <c r="Q29" s="117">
        <v>56180</v>
      </c>
      <c r="R29" s="1">
        <v>56588</v>
      </c>
      <c r="S29" s="1">
        <v>53379</v>
      </c>
      <c r="T29" s="1">
        <v>57419</v>
      </c>
      <c r="U29" s="1">
        <v>52627</v>
      </c>
    </row>
    <row r="30" spans="1:21" x14ac:dyDescent="0.2">
      <c r="A30" s="26" t="s">
        <v>6</v>
      </c>
      <c r="B30" s="47">
        <v>28773.59</v>
      </c>
      <c r="C30" s="47">
        <v>32836.11</v>
      </c>
      <c r="D30" s="42">
        <v>42228.34</v>
      </c>
      <c r="E30" s="42">
        <v>38488.800000000003</v>
      </c>
      <c r="F30" s="42">
        <v>88892.99</v>
      </c>
      <c r="G30" s="42">
        <v>32788</v>
      </c>
      <c r="H30" s="42">
        <v>48250</v>
      </c>
      <c r="I30" s="2">
        <v>39253</v>
      </c>
      <c r="J30" s="2">
        <v>44579</v>
      </c>
      <c r="K30" s="2">
        <v>58050</v>
      </c>
      <c r="L30" s="102">
        <v>43943</v>
      </c>
      <c r="M30" s="117">
        <v>63372</v>
      </c>
      <c r="N30" s="117">
        <v>45506</v>
      </c>
      <c r="O30" s="117">
        <v>48457</v>
      </c>
      <c r="P30" s="117">
        <v>41446</v>
      </c>
      <c r="Q30" s="117">
        <v>48365</v>
      </c>
      <c r="R30" s="1">
        <v>41447</v>
      </c>
      <c r="S30" s="1">
        <v>43479</v>
      </c>
      <c r="T30" s="1">
        <v>62283</v>
      </c>
      <c r="U30" s="1">
        <v>71529</v>
      </c>
    </row>
    <row r="31" spans="1:21" x14ac:dyDescent="0.2">
      <c r="A31" s="26" t="s">
        <v>7</v>
      </c>
      <c r="B31" s="47">
        <v>38998.339999999997</v>
      </c>
      <c r="C31" s="47">
        <v>52595.8</v>
      </c>
      <c r="D31" s="42">
        <v>49530.02</v>
      </c>
      <c r="E31" s="42">
        <v>56617.89</v>
      </c>
      <c r="F31" s="42">
        <v>70742.850000000006</v>
      </c>
      <c r="G31" s="42">
        <v>53078</v>
      </c>
      <c r="H31" s="42">
        <v>63426</v>
      </c>
      <c r="I31" s="2">
        <v>73592</v>
      </c>
      <c r="J31" s="2">
        <v>59160</v>
      </c>
      <c r="K31" s="2">
        <v>49644</v>
      </c>
      <c r="L31" s="102">
        <v>52661</v>
      </c>
      <c r="M31" s="117">
        <v>60840</v>
      </c>
      <c r="N31" s="117">
        <v>52277</v>
      </c>
      <c r="O31" s="117">
        <v>58868</v>
      </c>
      <c r="P31" s="117">
        <v>41557</v>
      </c>
      <c r="Q31" s="117">
        <v>73803</v>
      </c>
      <c r="R31" s="1">
        <v>49854</v>
      </c>
      <c r="S31" s="1">
        <v>66142</v>
      </c>
      <c r="T31" s="1">
        <v>64192</v>
      </c>
      <c r="U31" s="1">
        <v>81860</v>
      </c>
    </row>
    <row r="32" spans="1:21" x14ac:dyDescent="0.2">
      <c r="A32" s="26" t="s">
        <v>8</v>
      </c>
      <c r="B32" s="47">
        <v>30493.54</v>
      </c>
      <c r="C32" s="47">
        <v>31612.59</v>
      </c>
      <c r="D32" s="42">
        <v>44137.31</v>
      </c>
      <c r="E32" s="42">
        <v>40107.93</v>
      </c>
      <c r="F32" s="42">
        <v>49545.65</v>
      </c>
      <c r="G32" s="42">
        <v>35106</v>
      </c>
      <c r="H32" s="42">
        <v>54812</v>
      </c>
      <c r="I32" s="2">
        <v>54602</v>
      </c>
      <c r="J32" s="2">
        <v>47895</v>
      </c>
      <c r="K32" s="2">
        <v>47397</v>
      </c>
      <c r="L32" s="102">
        <v>54221</v>
      </c>
      <c r="M32" s="117">
        <v>33678</v>
      </c>
      <c r="N32" s="117">
        <v>40355</v>
      </c>
      <c r="O32" s="117">
        <v>55723</v>
      </c>
      <c r="P32" s="117">
        <v>55926</v>
      </c>
      <c r="Q32" s="117">
        <v>68972</v>
      </c>
      <c r="R32" s="2">
        <v>135948</v>
      </c>
      <c r="S32" s="1">
        <v>38177</v>
      </c>
      <c r="T32" s="1">
        <v>64896</v>
      </c>
      <c r="U32" s="1">
        <v>56099</v>
      </c>
    </row>
    <row r="33" spans="1:21" x14ac:dyDescent="0.2">
      <c r="A33" s="26" t="s">
        <v>9</v>
      </c>
      <c r="B33" s="47">
        <v>36308.35</v>
      </c>
      <c r="C33" s="47">
        <v>48280.36</v>
      </c>
      <c r="D33" s="42">
        <v>49579.02</v>
      </c>
      <c r="E33" s="42">
        <f>105953.52+7</f>
        <v>105960.52</v>
      </c>
      <c r="F33" s="42">
        <f>49061.7-1+9807.2</f>
        <v>58867.899999999994</v>
      </c>
      <c r="G33" s="42">
        <v>42786</v>
      </c>
      <c r="H33" s="42">
        <v>55090</v>
      </c>
      <c r="I33" s="2">
        <v>53608</v>
      </c>
      <c r="J33" s="2">
        <v>64433</v>
      </c>
      <c r="K33" s="2">
        <v>46508</v>
      </c>
      <c r="L33" s="102">
        <v>62299</v>
      </c>
      <c r="M33" s="117">
        <v>46692</v>
      </c>
      <c r="N33" s="117">
        <v>50905</v>
      </c>
      <c r="O33" s="117">
        <v>49531</v>
      </c>
      <c r="P33" s="117">
        <v>53068</v>
      </c>
      <c r="Q33" s="117">
        <v>58304</v>
      </c>
      <c r="R33" s="1">
        <v>59328</v>
      </c>
      <c r="S33" s="1">
        <v>58072</v>
      </c>
      <c r="T33" s="1">
        <v>52217</v>
      </c>
      <c r="U33" s="1">
        <v>53798</v>
      </c>
    </row>
    <row r="34" spans="1:21" x14ac:dyDescent="0.2">
      <c r="A34" s="26" t="s">
        <v>10</v>
      </c>
      <c r="B34" s="47">
        <v>38343.449999999997</v>
      </c>
      <c r="C34" s="47">
        <v>40879.199999999997</v>
      </c>
      <c r="D34" s="42">
        <v>39115.57</v>
      </c>
      <c r="E34" s="42">
        <f>58411.46</f>
        <v>58411.46</v>
      </c>
      <c r="F34" s="42"/>
      <c r="G34" s="42">
        <v>58797</v>
      </c>
      <c r="H34" s="42">
        <v>36733</v>
      </c>
      <c r="I34" s="2">
        <v>46073</v>
      </c>
      <c r="J34" s="2">
        <v>54007</v>
      </c>
      <c r="K34" s="2">
        <v>52766</v>
      </c>
      <c r="L34" s="102">
        <v>63017</v>
      </c>
      <c r="M34" s="117">
        <v>64820</v>
      </c>
      <c r="N34" s="117">
        <v>67734</v>
      </c>
      <c r="O34" s="117">
        <v>46321</v>
      </c>
      <c r="P34" s="117">
        <v>48519</v>
      </c>
      <c r="Q34" s="117">
        <v>58078</v>
      </c>
      <c r="R34" s="1">
        <v>38698</v>
      </c>
      <c r="S34" s="1">
        <v>72372</v>
      </c>
      <c r="T34" s="1">
        <v>44801</v>
      </c>
      <c r="U34" s="1">
        <v>60945</v>
      </c>
    </row>
    <row r="35" spans="1:21" x14ac:dyDescent="0.2">
      <c r="A35" s="26" t="s">
        <v>11</v>
      </c>
      <c r="B35" s="63">
        <v>39714.1</v>
      </c>
      <c r="C35" s="63">
        <v>25388.560000000001</v>
      </c>
      <c r="D35" s="63">
        <v>32338.13</v>
      </c>
      <c r="E35" s="63">
        <v>65096.6</v>
      </c>
      <c r="F35" s="63">
        <v>71601</v>
      </c>
      <c r="G35" s="48">
        <v>40410</v>
      </c>
      <c r="H35" s="48">
        <v>33587</v>
      </c>
      <c r="I35" s="40">
        <v>44837</v>
      </c>
      <c r="J35" s="40">
        <v>48146</v>
      </c>
      <c r="K35" s="40">
        <v>57059</v>
      </c>
      <c r="L35" s="95">
        <v>68287</v>
      </c>
      <c r="M35" s="95">
        <v>39025</v>
      </c>
      <c r="N35" s="95">
        <v>46343</v>
      </c>
      <c r="O35" s="95">
        <v>44102</v>
      </c>
      <c r="P35" s="95">
        <v>83470</v>
      </c>
      <c r="Q35" s="95">
        <v>127654</v>
      </c>
      <c r="R35" s="1">
        <v>27556</v>
      </c>
      <c r="S35" s="1">
        <v>50220</v>
      </c>
      <c r="T35" s="1">
        <v>54423</v>
      </c>
      <c r="U35" s="1">
        <v>79357</v>
      </c>
    </row>
    <row r="36" spans="1:21" x14ac:dyDescent="0.2">
      <c r="A36" s="25"/>
      <c r="B36" s="64">
        <f t="shared" ref="B36:H36" si="6">SUM(B24:B35)</f>
        <v>408322.54999999993</v>
      </c>
      <c r="C36" s="64">
        <f t="shared" si="6"/>
        <v>481210.51</v>
      </c>
      <c r="D36" s="44">
        <f t="shared" si="6"/>
        <v>570170.69000000006</v>
      </c>
      <c r="E36" s="44">
        <f t="shared" si="6"/>
        <v>644319.27</v>
      </c>
      <c r="F36" s="44">
        <f t="shared" si="6"/>
        <v>681348.97000000009</v>
      </c>
      <c r="G36" s="44">
        <f t="shared" si="6"/>
        <v>529143</v>
      </c>
      <c r="H36" s="44">
        <f t="shared" si="6"/>
        <v>545592</v>
      </c>
      <c r="I36" s="44">
        <f t="shared" ref="I36:N36" si="7">SUM(I24:I35)</f>
        <v>589855</v>
      </c>
      <c r="J36" s="44">
        <f t="shared" si="7"/>
        <v>658754</v>
      </c>
      <c r="K36" s="44">
        <f t="shared" si="7"/>
        <v>587075</v>
      </c>
      <c r="L36" s="96">
        <f t="shared" si="7"/>
        <v>658586</v>
      </c>
      <c r="M36" s="96">
        <f t="shared" si="7"/>
        <v>673346</v>
      </c>
      <c r="N36" s="96">
        <f t="shared" si="7"/>
        <v>575818</v>
      </c>
      <c r="O36" s="96">
        <f t="shared" ref="O36:P36" si="8">SUM(O24:O35)</f>
        <v>544304</v>
      </c>
      <c r="P36" s="96">
        <f t="shared" si="8"/>
        <v>629457</v>
      </c>
      <c r="Q36" s="96">
        <f t="shared" ref="Q36:S36" si="9">SUM(Q24:Q35)</f>
        <v>722670</v>
      </c>
      <c r="R36" s="126">
        <f t="shared" ref="R36" si="10">SUM(R24:R35)</f>
        <v>682764</v>
      </c>
      <c r="S36" s="126">
        <f t="shared" si="9"/>
        <v>601952</v>
      </c>
      <c r="T36" s="126">
        <f t="shared" ref="T36:U36" si="11">SUM(T24:T35)</f>
        <v>624181</v>
      </c>
      <c r="U36" s="126">
        <f t="shared" si="11"/>
        <v>771200</v>
      </c>
    </row>
    <row r="37" spans="1:21" x14ac:dyDescent="0.2">
      <c r="A37" s="25"/>
      <c r="C37" s="42"/>
      <c r="D37" s="42"/>
      <c r="E37" s="42"/>
      <c r="F37" s="42"/>
      <c r="G37" s="42"/>
      <c r="H37" s="42"/>
      <c r="L37" s="94"/>
    </row>
    <row r="38" spans="1:21" x14ac:dyDescent="0.2">
      <c r="A38" s="25"/>
    </row>
    <row r="39" spans="1:21" x14ac:dyDescent="0.2">
      <c r="A39" s="29" t="s">
        <v>249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-9854</v>
      </c>
      <c r="H42" s="2">
        <v>-8915</v>
      </c>
      <c r="I42" s="2">
        <v>-426</v>
      </c>
      <c r="J42" s="2">
        <v>-2195</v>
      </c>
      <c r="K42" s="2">
        <v>-746</v>
      </c>
      <c r="L42" s="2">
        <v>-4627</v>
      </c>
      <c r="M42" s="2">
        <v>-24601</v>
      </c>
      <c r="N42" s="2">
        <v>-44156</v>
      </c>
      <c r="O42" s="117">
        <v>-7425</v>
      </c>
      <c r="P42" s="117">
        <v>-2315</v>
      </c>
      <c r="Q42" s="117">
        <v>-2124</v>
      </c>
      <c r="R42" s="1">
        <v>-6176</v>
      </c>
      <c r="S42" s="1">
        <v>-2216</v>
      </c>
      <c r="T42" s="1">
        <v>-681</v>
      </c>
      <c r="U42" s="1">
        <v>-1624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-20578</v>
      </c>
      <c r="H43" s="2">
        <v>-9707</v>
      </c>
      <c r="I43" s="2">
        <v>-81534</v>
      </c>
      <c r="J43" s="2">
        <v>-15895</v>
      </c>
      <c r="K43" s="2">
        <v>-33581</v>
      </c>
      <c r="L43" s="2">
        <v>-19801</v>
      </c>
      <c r="M43" s="2">
        <v>-26650</v>
      </c>
      <c r="N43" s="2">
        <v>-24340</v>
      </c>
      <c r="O43" s="117">
        <v>-19762</v>
      </c>
      <c r="P43" s="117">
        <v>-3703</v>
      </c>
      <c r="Q43" s="117">
        <v>-1041</v>
      </c>
      <c r="R43" s="1">
        <v>-4334</v>
      </c>
      <c r="S43" s="1">
        <v>-2934</v>
      </c>
      <c r="T43" s="1">
        <v>-116</v>
      </c>
      <c r="U43" s="1">
        <v>-2573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-119226</v>
      </c>
      <c r="H44" s="2">
        <v>-5225</v>
      </c>
      <c r="I44" s="2">
        <v>-15690</v>
      </c>
      <c r="J44" s="2">
        <v>-16157</v>
      </c>
      <c r="K44" s="2">
        <v>-38177</v>
      </c>
      <c r="L44" s="2">
        <v>-21845</v>
      </c>
      <c r="M44" s="2">
        <v>-23235</v>
      </c>
      <c r="N44" s="2">
        <v>-22457</v>
      </c>
      <c r="O44" s="117">
        <v>-590</v>
      </c>
      <c r="P44" s="117">
        <v>-21251</v>
      </c>
      <c r="Q44" s="117">
        <v>-1211</v>
      </c>
      <c r="R44" s="1">
        <v>-2714</v>
      </c>
      <c r="S44" s="117">
        <v>-26</v>
      </c>
      <c r="T44" s="1">
        <v>-234</v>
      </c>
      <c r="U44" s="1">
        <v>-2756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-5226</v>
      </c>
      <c r="H45" s="2">
        <v>-6036</v>
      </c>
      <c r="I45" s="2">
        <v>-39750</v>
      </c>
      <c r="J45" s="2">
        <v>-25652</v>
      </c>
      <c r="K45" s="2">
        <v>-8457</v>
      </c>
      <c r="L45" s="2">
        <v>-15870</v>
      </c>
      <c r="M45" s="2">
        <v>-8642</v>
      </c>
      <c r="N45" s="2">
        <v>-8690</v>
      </c>
      <c r="O45" s="117">
        <v>-16613</v>
      </c>
      <c r="P45" s="117">
        <v>-28134</v>
      </c>
      <c r="Q45" s="117">
        <v>-2738</v>
      </c>
      <c r="R45" s="1">
        <v>-1490</v>
      </c>
      <c r="S45" s="117">
        <v>-1012</v>
      </c>
      <c r="T45" s="1">
        <v>-62</v>
      </c>
      <c r="U45" s="117">
        <v>-804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-10291</v>
      </c>
      <c r="H46" s="2">
        <v>-10816</v>
      </c>
      <c r="I46" s="2">
        <v>-196</v>
      </c>
      <c r="J46" s="2">
        <v>-31426</v>
      </c>
      <c r="K46" s="2">
        <v>-3770</v>
      </c>
      <c r="L46" s="2">
        <v>-12013</v>
      </c>
      <c r="M46" s="2">
        <v>-2290</v>
      </c>
      <c r="N46" s="2">
        <v>-13127</v>
      </c>
      <c r="O46" s="117">
        <v>-3195</v>
      </c>
      <c r="P46" s="117">
        <v>-1549</v>
      </c>
      <c r="Q46" s="117">
        <v>-1403</v>
      </c>
      <c r="R46" s="1">
        <v>-6736</v>
      </c>
      <c r="S46" s="117">
        <v>-66</v>
      </c>
      <c r="T46" s="1">
        <v>-96</v>
      </c>
      <c r="U46" s="117">
        <v>-67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-622</v>
      </c>
      <c r="H47" s="2">
        <v>-1902</v>
      </c>
      <c r="I47" s="2">
        <v>-5352</v>
      </c>
      <c r="J47" s="2">
        <v>-26791</v>
      </c>
      <c r="K47" s="2">
        <v>-10508</v>
      </c>
      <c r="L47" s="2">
        <v>-1908</v>
      </c>
      <c r="M47" s="2">
        <v>-22063</v>
      </c>
      <c r="N47" s="2">
        <v>-10471</v>
      </c>
      <c r="O47" s="117">
        <v>-5317</v>
      </c>
      <c r="P47" s="117">
        <v>-146</v>
      </c>
      <c r="Q47" s="117">
        <v>-958</v>
      </c>
      <c r="R47" s="1">
        <v>-2883</v>
      </c>
      <c r="S47" s="1">
        <v>-1118</v>
      </c>
      <c r="T47" s="1">
        <v>-1204</v>
      </c>
      <c r="U47" s="1">
        <v>-360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-7347</v>
      </c>
      <c r="H48" s="2">
        <v>-889</v>
      </c>
      <c r="I48" s="2">
        <v>-9433</v>
      </c>
      <c r="J48" s="2">
        <v>-3048</v>
      </c>
      <c r="K48" s="2">
        <v>-10087</v>
      </c>
      <c r="L48" s="2">
        <v>-13690</v>
      </c>
      <c r="M48" s="2">
        <v>-51161</v>
      </c>
      <c r="N48" s="2">
        <v>-485</v>
      </c>
      <c r="O48" s="117">
        <v>-746</v>
      </c>
      <c r="P48" s="117">
        <v>-8894</v>
      </c>
      <c r="Q48" s="117">
        <v>-1407</v>
      </c>
      <c r="R48" s="1">
        <v>-1455</v>
      </c>
      <c r="S48" s="117">
        <v>-256</v>
      </c>
      <c r="T48" s="1">
        <v>-500</v>
      </c>
      <c r="U48" s="1">
        <v>-7309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-53445</v>
      </c>
      <c r="H49" s="2">
        <v>-4161</v>
      </c>
      <c r="I49" s="2">
        <v>-6110</v>
      </c>
      <c r="J49" s="2">
        <v>-21342</v>
      </c>
      <c r="K49" s="2">
        <v>-15047</v>
      </c>
      <c r="L49" s="2">
        <v>-21366</v>
      </c>
      <c r="M49" s="2">
        <v>-9273</v>
      </c>
      <c r="N49" s="2">
        <v>-8486</v>
      </c>
      <c r="O49" s="117">
        <v>-319</v>
      </c>
      <c r="P49" s="117">
        <v>-227</v>
      </c>
      <c r="Q49" s="117">
        <v>-381</v>
      </c>
      <c r="R49" s="1">
        <v>-4779</v>
      </c>
      <c r="S49" s="117">
        <v>-46</v>
      </c>
      <c r="T49" s="1">
        <v>-1</v>
      </c>
      <c r="U49" s="1">
        <v>-10883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-652</v>
      </c>
      <c r="H50" s="2">
        <v>0</v>
      </c>
      <c r="I50" s="2">
        <v>-12973</v>
      </c>
      <c r="J50" s="2">
        <v>-15481</v>
      </c>
      <c r="K50" s="2">
        <v>-62395</v>
      </c>
      <c r="L50" s="2">
        <v>-33</v>
      </c>
      <c r="M50" s="2">
        <v>-2987</v>
      </c>
      <c r="N50" s="2">
        <v>-943</v>
      </c>
      <c r="O50" s="117">
        <v>-14063</v>
      </c>
      <c r="P50" s="117">
        <v>-9</v>
      </c>
      <c r="Q50" s="117">
        <v>-965</v>
      </c>
      <c r="R50" s="2">
        <v>-224</v>
      </c>
      <c r="S50" s="1">
        <v>-1045</v>
      </c>
      <c r="T50" s="1">
        <v>-196</v>
      </c>
      <c r="U50" s="1">
        <v>-377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-6054</v>
      </c>
      <c r="H51" s="2">
        <v>-646</v>
      </c>
      <c r="I51" s="2">
        <v>-9245</v>
      </c>
      <c r="J51" s="2">
        <v>-13997</v>
      </c>
      <c r="K51" s="2">
        <v>-71193</v>
      </c>
      <c r="L51" s="2">
        <v>-12630</v>
      </c>
      <c r="M51" s="2">
        <v>-8077</v>
      </c>
      <c r="N51" s="2">
        <v>-29166</v>
      </c>
      <c r="O51" s="117">
        <v>-7919</v>
      </c>
      <c r="P51" s="117">
        <v>-182</v>
      </c>
      <c r="Q51" s="117">
        <v>-1795</v>
      </c>
      <c r="R51" s="1">
        <v>-1724</v>
      </c>
      <c r="S51" s="117">
        <v>-499</v>
      </c>
      <c r="T51" s="1">
        <v>-177</v>
      </c>
      <c r="U51" s="1">
        <v>-16016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-10654</v>
      </c>
      <c r="H52" s="2">
        <v>-49842</v>
      </c>
      <c r="I52" s="2">
        <v>-20004</v>
      </c>
      <c r="J52" s="2">
        <v>-5233</v>
      </c>
      <c r="K52" s="2">
        <v>-2121</v>
      </c>
      <c r="L52" s="2">
        <v>-8664</v>
      </c>
      <c r="M52" s="2">
        <v>-19110</v>
      </c>
      <c r="N52" s="2">
        <v>-20518</v>
      </c>
      <c r="O52" s="117">
        <v>-1229</v>
      </c>
      <c r="P52" s="117">
        <v>-1701</v>
      </c>
      <c r="Q52" s="117">
        <v>-2888</v>
      </c>
      <c r="R52" s="1">
        <v>-21</v>
      </c>
      <c r="S52" s="117">
        <v>-393</v>
      </c>
      <c r="T52" s="1">
        <v>-5058</v>
      </c>
      <c r="U52" s="1">
        <v>-1223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-35</v>
      </c>
      <c r="G53" s="40">
        <v>-29974</v>
      </c>
      <c r="H53" s="40">
        <v>-632</v>
      </c>
      <c r="I53" s="40">
        <v>-18060</v>
      </c>
      <c r="J53" s="40">
        <v>-1595</v>
      </c>
      <c r="K53" s="40">
        <v>-7418</v>
      </c>
      <c r="L53" s="40">
        <v>-20932</v>
      </c>
      <c r="M53" s="40">
        <v>-8054</v>
      </c>
      <c r="N53" s="40">
        <v>-1595</v>
      </c>
      <c r="O53" s="95">
        <v>-2060</v>
      </c>
      <c r="P53" s="95">
        <v>-10</v>
      </c>
      <c r="Q53" s="95">
        <v>-538</v>
      </c>
      <c r="R53" s="1">
        <v>-2432</v>
      </c>
      <c r="S53" s="1">
        <v>-3826</v>
      </c>
      <c r="T53" s="1">
        <v>-484</v>
      </c>
      <c r="U53" s="1">
        <v>-780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2">SUM(F42:F53)</f>
        <v>-35</v>
      </c>
      <c r="G54" s="126">
        <f t="shared" si="12"/>
        <v>-273923</v>
      </c>
      <c r="H54" s="126">
        <f t="shared" si="12"/>
        <v>-98771</v>
      </c>
      <c r="I54" s="126">
        <f t="shared" si="12"/>
        <v>-218773</v>
      </c>
      <c r="J54" s="126">
        <f t="shared" si="12"/>
        <v>-178812</v>
      </c>
      <c r="K54" s="126">
        <f t="shared" si="12"/>
        <v>-263500</v>
      </c>
      <c r="L54" s="126">
        <f t="shared" si="12"/>
        <v>-153379</v>
      </c>
      <c r="M54" s="126">
        <f t="shared" si="12"/>
        <v>-206143</v>
      </c>
      <c r="N54" s="126">
        <f t="shared" si="12"/>
        <v>-184434</v>
      </c>
      <c r="O54" s="96">
        <f t="shared" ref="O54:P54" si="13">SUM(O42:O53)</f>
        <v>-79238</v>
      </c>
      <c r="P54" s="96">
        <f t="shared" si="13"/>
        <v>-68121</v>
      </c>
      <c r="Q54" s="96">
        <f t="shared" ref="Q54:S54" si="14">SUM(Q42:Q53)</f>
        <v>-17449</v>
      </c>
      <c r="R54" s="126">
        <f t="shared" ref="R54" si="15">SUM(R42:R53)</f>
        <v>-34968</v>
      </c>
      <c r="S54" s="126">
        <f t="shared" si="14"/>
        <v>-13437</v>
      </c>
      <c r="T54" s="126">
        <f t="shared" ref="T54:U54" si="16">SUM(T42:T53)</f>
        <v>-8809</v>
      </c>
      <c r="U54" s="126">
        <f t="shared" si="16"/>
        <v>-44772</v>
      </c>
    </row>
  </sheetData>
  <phoneticPr fontId="4" type="noConversion"/>
  <pageMargins left="0.25" right="0.26" top="0.87" bottom="1.4" header="0.28999999999999998" footer="0.33"/>
  <pageSetup fitToHeight="2" orientation="landscape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U54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10.7109375" customWidth="1"/>
    <col min="5" max="5" width="10.7109375" bestFit="1" customWidth="1"/>
    <col min="6" max="6" width="10.85546875" customWidth="1"/>
    <col min="7" max="8" width="10.7109375" bestFit="1" customWidth="1"/>
    <col min="9" max="11" width="10.140625" bestFit="1" customWidth="1"/>
    <col min="12" max="12" width="10.7109375" customWidth="1"/>
    <col min="13" max="21" width="10.7109375" bestFit="1" customWidth="1"/>
  </cols>
  <sheetData>
    <row r="2" spans="1:21" x14ac:dyDescent="0.2">
      <c r="A2" s="24" t="s">
        <v>80</v>
      </c>
      <c r="B2" s="148">
        <v>5.0000000000000001E-3</v>
      </c>
      <c r="D2" s="94" t="s">
        <v>194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2"/>
      <c r="C5" s="12"/>
      <c r="D5" s="2">
        <v>0</v>
      </c>
      <c r="E5" s="2">
        <v>163950</v>
      </c>
      <c r="F5" s="2">
        <v>170116.91</v>
      </c>
      <c r="G5" s="2">
        <v>166783</v>
      </c>
      <c r="H5" s="2">
        <v>188510</v>
      </c>
      <c r="I5" s="2">
        <v>188533</v>
      </c>
      <c r="J5" s="2">
        <v>187431</v>
      </c>
      <c r="K5" s="2">
        <v>189675</v>
      </c>
      <c r="L5" s="102">
        <v>193460</v>
      </c>
      <c r="M5" s="117">
        <v>187350</v>
      </c>
      <c r="N5" s="117">
        <v>206600</v>
      </c>
      <c r="O5" s="117">
        <v>213904</v>
      </c>
      <c r="P5" s="117">
        <v>202538</v>
      </c>
      <c r="Q5" s="117">
        <v>222373</v>
      </c>
      <c r="R5" s="1">
        <v>227137</v>
      </c>
      <c r="S5" s="1">
        <v>245496</v>
      </c>
      <c r="T5" s="1">
        <v>238219</v>
      </c>
      <c r="U5" s="1">
        <v>282540</v>
      </c>
    </row>
    <row r="6" spans="1:21" x14ac:dyDescent="0.2">
      <c r="A6" s="26" t="s">
        <v>1</v>
      </c>
      <c r="B6" s="12"/>
      <c r="C6" s="12"/>
      <c r="D6" s="1">
        <f>106115+300</f>
        <v>106415</v>
      </c>
      <c r="E6" s="1">
        <v>118529</v>
      </c>
      <c r="F6" s="1">
        <f>840+120971.65</f>
        <v>121811.65</v>
      </c>
      <c r="G6" s="1">
        <v>123233</v>
      </c>
      <c r="H6" s="2">
        <v>120534</v>
      </c>
      <c r="I6" s="2">
        <v>122616</v>
      </c>
      <c r="J6" s="2">
        <v>127167</v>
      </c>
      <c r="K6" s="2">
        <v>143402</v>
      </c>
      <c r="L6" s="102">
        <v>147692</v>
      </c>
      <c r="M6" s="117">
        <v>146786</v>
      </c>
      <c r="N6" s="117">
        <v>155069</v>
      </c>
      <c r="O6" s="117">
        <v>150465</v>
      </c>
      <c r="P6" s="117">
        <v>155950</v>
      </c>
      <c r="Q6" s="117">
        <v>171067</v>
      </c>
      <c r="R6" s="1">
        <v>168514</v>
      </c>
      <c r="S6" s="1">
        <v>202905</v>
      </c>
      <c r="T6" s="1">
        <v>208086</v>
      </c>
      <c r="U6" s="1">
        <v>221738</v>
      </c>
    </row>
    <row r="7" spans="1:21" x14ac:dyDescent="0.2">
      <c r="A7" s="26" t="s">
        <v>2</v>
      </c>
      <c r="B7" s="12"/>
      <c r="C7" s="12"/>
      <c r="D7" s="1">
        <f>100468</f>
        <v>100468</v>
      </c>
      <c r="E7" s="1">
        <v>113309.83</v>
      </c>
      <c r="F7" s="1">
        <v>120422.76</v>
      </c>
      <c r="G7" s="1">
        <v>123378</v>
      </c>
      <c r="H7" s="2">
        <v>120976</v>
      </c>
      <c r="I7" s="2">
        <v>126904</v>
      </c>
      <c r="J7" s="2">
        <v>135183</v>
      </c>
      <c r="K7" s="2">
        <v>139740</v>
      </c>
      <c r="L7" s="106">
        <v>143008</v>
      </c>
      <c r="M7" s="117">
        <v>150954</v>
      </c>
      <c r="N7" s="117">
        <v>152468</v>
      </c>
      <c r="O7" s="117">
        <v>152235</v>
      </c>
      <c r="P7" s="117">
        <v>151136</v>
      </c>
      <c r="Q7" s="117">
        <v>157274</v>
      </c>
      <c r="R7" s="1">
        <v>171748</v>
      </c>
      <c r="S7" s="1">
        <v>194527</v>
      </c>
      <c r="T7" s="1">
        <v>207050</v>
      </c>
      <c r="U7" s="1">
        <v>205910</v>
      </c>
    </row>
    <row r="8" spans="1:21" x14ac:dyDescent="0.2">
      <c r="A8" s="26" t="s">
        <v>3</v>
      </c>
      <c r="B8" s="12"/>
      <c r="C8" s="12"/>
      <c r="D8" s="2">
        <v>113870</v>
      </c>
      <c r="E8" s="2">
        <v>120487.6</v>
      </c>
      <c r="F8" s="2">
        <v>126124.82</v>
      </c>
      <c r="G8" s="2">
        <v>116781</v>
      </c>
      <c r="H8" s="2">
        <v>138064</v>
      </c>
      <c r="I8" s="2">
        <v>140158</v>
      </c>
      <c r="J8" s="2">
        <v>147967</v>
      </c>
      <c r="K8" s="2">
        <v>149410</v>
      </c>
      <c r="L8" s="106">
        <v>171203</v>
      </c>
      <c r="M8" s="117">
        <v>164893</v>
      </c>
      <c r="N8" s="117">
        <v>179336</v>
      </c>
      <c r="O8" s="117">
        <v>176008</v>
      </c>
      <c r="P8" s="117">
        <v>203415</v>
      </c>
      <c r="Q8" s="117">
        <v>188790</v>
      </c>
      <c r="R8" s="1">
        <v>175419</v>
      </c>
      <c r="S8" s="1">
        <v>259101</v>
      </c>
      <c r="T8" s="1">
        <v>248288</v>
      </c>
      <c r="U8" s="1">
        <v>243857</v>
      </c>
    </row>
    <row r="9" spans="1:21" x14ac:dyDescent="0.2">
      <c r="A9" s="26" t="s">
        <v>4</v>
      </c>
      <c r="B9" s="12"/>
      <c r="C9" s="12"/>
      <c r="D9" s="1">
        <f>120321.59+452</f>
        <v>120773.59</v>
      </c>
      <c r="E9" s="1">
        <v>123805.57</v>
      </c>
      <c r="F9" s="1">
        <v>118062.75</v>
      </c>
      <c r="G9" s="1">
        <v>121892</v>
      </c>
      <c r="H9" s="2">
        <v>133872</v>
      </c>
      <c r="I9" s="2">
        <v>153353</v>
      </c>
      <c r="J9" s="2">
        <v>149375</v>
      </c>
      <c r="K9" s="2">
        <v>143569</v>
      </c>
      <c r="L9" s="106">
        <v>163326</v>
      </c>
      <c r="M9" s="117">
        <v>166707</v>
      </c>
      <c r="N9" s="117">
        <v>172269</v>
      </c>
      <c r="O9" s="117">
        <v>180015</v>
      </c>
      <c r="P9" s="117">
        <v>182500</v>
      </c>
      <c r="Q9" s="117">
        <v>191255</v>
      </c>
      <c r="R9" s="1">
        <v>189250</v>
      </c>
      <c r="S9" s="1">
        <v>234817</v>
      </c>
      <c r="T9" s="1">
        <v>237852</v>
      </c>
      <c r="U9" s="1">
        <v>237847</v>
      </c>
    </row>
    <row r="10" spans="1:21" x14ac:dyDescent="0.2">
      <c r="A10" s="26" t="s">
        <v>5</v>
      </c>
      <c r="B10" s="12"/>
      <c r="C10" s="12"/>
      <c r="D10" s="1">
        <f>133474+12</f>
        <v>133486</v>
      </c>
      <c r="E10" s="1">
        <v>137188.78</v>
      </c>
      <c r="F10" s="1">
        <v>147740.24</v>
      </c>
      <c r="G10" s="1">
        <v>131728</v>
      </c>
      <c r="H10" s="2">
        <v>147161</v>
      </c>
      <c r="I10" s="2">
        <v>152375</v>
      </c>
      <c r="J10" s="2">
        <v>149102</v>
      </c>
      <c r="K10" s="2">
        <v>182605</v>
      </c>
      <c r="L10" s="106">
        <v>185155</v>
      </c>
      <c r="M10" s="117">
        <v>189745</v>
      </c>
      <c r="N10" s="117">
        <v>191983</v>
      </c>
      <c r="O10" s="117">
        <v>201877</v>
      </c>
      <c r="P10" s="117">
        <v>217229</v>
      </c>
      <c r="Q10" s="117">
        <v>221882</v>
      </c>
      <c r="R10" s="1">
        <v>243588</v>
      </c>
      <c r="S10" s="1">
        <v>264944</v>
      </c>
      <c r="T10" s="1">
        <v>343776</v>
      </c>
      <c r="U10" s="1">
        <v>294561</v>
      </c>
    </row>
    <row r="11" spans="1:21" x14ac:dyDescent="0.2">
      <c r="A11" s="26" t="s">
        <v>6</v>
      </c>
      <c r="B11" s="12"/>
      <c r="C11" s="12"/>
      <c r="D11" s="1">
        <v>119707.17</v>
      </c>
      <c r="E11" s="1">
        <f>127896+7</f>
        <v>127903</v>
      </c>
      <c r="F11" s="1">
        <v>129767.65</v>
      </c>
      <c r="G11" s="1">
        <v>125571</v>
      </c>
      <c r="H11" s="2">
        <v>151141</v>
      </c>
      <c r="I11" s="2">
        <v>141230</v>
      </c>
      <c r="J11" s="2">
        <v>158738</v>
      </c>
      <c r="K11" s="2">
        <v>146145</v>
      </c>
      <c r="L11" s="106">
        <v>172532</v>
      </c>
      <c r="M11" s="117">
        <v>165822</v>
      </c>
      <c r="N11" s="117">
        <v>182902</v>
      </c>
      <c r="O11" s="117">
        <v>184800</v>
      </c>
      <c r="P11" s="117">
        <v>190866</v>
      </c>
      <c r="Q11" s="117">
        <v>218532</v>
      </c>
      <c r="R11" s="1">
        <v>217368</v>
      </c>
      <c r="S11" s="1">
        <v>272119</v>
      </c>
      <c r="T11" s="1">
        <v>294348</v>
      </c>
      <c r="U11" s="1">
        <v>319095</v>
      </c>
    </row>
    <row r="12" spans="1:21" x14ac:dyDescent="0.2">
      <c r="A12" s="26" t="s">
        <v>7</v>
      </c>
      <c r="B12" s="12"/>
      <c r="C12" s="12"/>
      <c r="D12" s="1">
        <v>166740</v>
      </c>
      <c r="E12" s="1">
        <v>166123.1</v>
      </c>
      <c r="F12" s="1">
        <v>164939.63</v>
      </c>
      <c r="G12" s="1">
        <v>161967</v>
      </c>
      <c r="H12" s="2">
        <v>173801</v>
      </c>
      <c r="I12" s="2">
        <v>177916</v>
      </c>
      <c r="J12" s="2">
        <v>197312</v>
      </c>
      <c r="K12" s="2">
        <v>215644</v>
      </c>
      <c r="L12" s="106">
        <v>192592</v>
      </c>
      <c r="M12" s="117">
        <v>233603</v>
      </c>
      <c r="N12" s="117">
        <v>224391</v>
      </c>
      <c r="O12" s="117">
        <v>231842</v>
      </c>
      <c r="P12" s="117">
        <v>254298</v>
      </c>
      <c r="Q12" s="117">
        <v>231462</v>
      </c>
      <c r="R12" s="1">
        <v>287028</v>
      </c>
      <c r="S12" s="1">
        <v>290733</v>
      </c>
      <c r="T12" s="1">
        <v>299470</v>
      </c>
      <c r="U12" s="1">
        <v>301729</v>
      </c>
    </row>
    <row r="13" spans="1:21" x14ac:dyDescent="0.2">
      <c r="A13" s="26" t="s">
        <v>8</v>
      </c>
      <c r="B13" s="12"/>
      <c r="C13" s="12"/>
      <c r="D13" s="1">
        <f>133557.36+274</f>
        <v>133831.35999999999</v>
      </c>
      <c r="E13" s="1">
        <v>147652.89000000001</v>
      </c>
      <c r="F13" s="1">
        <v>139889.37</v>
      </c>
      <c r="G13" s="1">
        <v>149587</v>
      </c>
      <c r="H13" s="2">
        <v>153409</v>
      </c>
      <c r="I13" s="2">
        <v>156264</v>
      </c>
      <c r="J13" s="2">
        <v>170074</v>
      </c>
      <c r="K13" s="2">
        <v>179646</v>
      </c>
      <c r="L13" s="106">
        <v>180085</v>
      </c>
      <c r="M13" s="117">
        <v>197564</v>
      </c>
      <c r="N13" s="117">
        <v>197104</v>
      </c>
      <c r="O13" s="117">
        <v>201379</v>
      </c>
      <c r="P13" s="117">
        <v>214777</v>
      </c>
      <c r="Q13" s="117">
        <v>228559</v>
      </c>
      <c r="R13" s="2">
        <v>229989</v>
      </c>
      <c r="S13" s="1">
        <v>255429</v>
      </c>
      <c r="T13" s="1">
        <v>276683</v>
      </c>
      <c r="U13" s="1">
        <v>289864</v>
      </c>
    </row>
    <row r="14" spans="1:21" x14ac:dyDescent="0.2">
      <c r="A14" s="26" t="s">
        <v>9</v>
      </c>
      <c r="B14" s="12"/>
      <c r="C14" s="12"/>
      <c r="D14" s="1">
        <v>133737</v>
      </c>
      <c r="E14" s="1">
        <v>142547.51</v>
      </c>
      <c r="F14" s="1">
        <f>138924.99+195-1</f>
        <v>139118.99</v>
      </c>
      <c r="G14" s="1">
        <v>168136</v>
      </c>
      <c r="H14" s="2">
        <v>157138</v>
      </c>
      <c r="I14" s="2">
        <v>164496</v>
      </c>
      <c r="J14" s="2">
        <v>165557</v>
      </c>
      <c r="K14" s="2">
        <v>179478</v>
      </c>
      <c r="L14" s="106">
        <v>187154</v>
      </c>
      <c r="M14" s="117">
        <v>191709</v>
      </c>
      <c r="N14" s="117">
        <v>195149</v>
      </c>
      <c r="O14" s="117">
        <v>196749</v>
      </c>
      <c r="P14" s="117">
        <v>203451</v>
      </c>
      <c r="Q14" s="117">
        <v>216451</v>
      </c>
      <c r="R14" s="1">
        <v>236347</v>
      </c>
      <c r="S14" s="1">
        <v>278438</v>
      </c>
      <c r="T14" s="1">
        <v>265386</v>
      </c>
      <c r="U14" s="1">
        <v>281413</v>
      </c>
    </row>
    <row r="15" spans="1:21" x14ac:dyDescent="0.2">
      <c r="A15" s="26" t="s">
        <v>10</v>
      </c>
      <c r="B15" s="12"/>
      <c r="C15" s="12"/>
      <c r="D15" s="1">
        <v>122495</v>
      </c>
      <c r="E15" s="1">
        <v>130426.38</v>
      </c>
      <c r="F15" s="1"/>
      <c r="G15" s="1">
        <v>149038</v>
      </c>
      <c r="H15" s="2">
        <v>141670</v>
      </c>
      <c r="I15" s="2">
        <v>158185</v>
      </c>
      <c r="J15" s="2">
        <v>155010</v>
      </c>
      <c r="K15" s="2">
        <v>165509</v>
      </c>
      <c r="L15" s="106">
        <v>174565</v>
      </c>
      <c r="M15" s="117">
        <v>185129</v>
      </c>
      <c r="N15" s="117">
        <v>189426</v>
      </c>
      <c r="O15" s="117">
        <v>184927</v>
      </c>
      <c r="P15" s="117">
        <v>204807</v>
      </c>
      <c r="Q15" s="117">
        <v>205181</v>
      </c>
      <c r="R15" s="1">
        <v>220757</v>
      </c>
      <c r="S15" s="1">
        <v>247721</v>
      </c>
      <c r="T15" s="1">
        <v>274649</v>
      </c>
      <c r="U15" s="1">
        <v>270364</v>
      </c>
    </row>
    <row r="16" spans="1:21" ht="12.75" customHeight="1" x14ac:dyDescent="0.2">
      <c r="A16" s="49" t="s">
        <v>11</v>
      </c>
      <c r="B16" s="50"/>
      <c r="C16" s="51"/>
      <c r="D16" s="39">
        <v>124550</v>
      </c>
      <c r="E16" s="39">
        <v>128634.33</v>
      </c>
      <c r="F16" s="39">
        <v>242702</v>
      </c>
      <c r="G16" s="39">
        <v>135542</v>
      </c>
      <c r="H16" s="83">
        <v>158254</v>
      </c>
      <c r="I16" s="40">
        <v>149296</v>
      </c>
      <c r="J16" s="40">
        <v>147406</v>
      </c>
      <c r="K16" s="40">
        <v>206122</v>
      </c>
      <c r="L16" s="95">
        <v>165376</v>
      </c>
      <c r="M16" s="95">
        <v>166961</v>
      </c>
      <c r="N16" s="95">
        <v>180178</v>
      </c>
      <c r="O16" s="95">
        <v>187689</v>
      </c>
      <c r="P16" s="95">
        <v>192745</v>
      </c>
      <c r="Q16" s="95">
        <v>187264</v>
      </c>
      <c r="R16" s="1">
        <v>213372</v>
      </c>
      <c r="S16" s="1">
        <v>228932</v>
      </c>
      <c r="T16" s="1">
        <v>308664</v>
      </c>
      <c r="U16" s="1">
        <v>249685</v>
      </c>
    </row>
    <row r="17" spans="1:21" x14ac:dyDescent="0.2">
      <c r="A17" s="25"/>
      <c r="B17" s="14"/>
      <c r="C17" s="14"/>
      <c r="D17" s="41">
        <f t="shared" ref="D17:J17" si="0">SUM(D5:D16)</f>
        <v>1376073.12</v>
      </c>
      <c r="E17" s="41">
        <f t="shared" si="0"/>
        <v>1620557.9900000002</v>
      </c>
      <c r="F17" s="41">
        <f t="shared" si="0"/>
        <v>1620696.7700000003</v>
      </c>
      <c r="G17" s="41">
        <f t="shared" si="0"/>
        <v>1673636</v>
      </c>
      <c r="H17" s="41">
        <f t="shared" si="0"/>
        <v>1784530</v>
      </c>
      <c r="I17" s="44">
        <f t="shared" si="0"/>
        <v>1831326</v>
      </c>
      <c r="J17" s="44">
        <f t="shared" si="0"/>
        <v>1890322</v>
      </c>
      <c r="K17" s="44">
        <f t="shared" ref="K17:P17" si="1">SUM(K5:K16)</f>
        <v>2040945</v>
      </c>
      <c r="L17" s="96">
        <f t="shared" si="1"/>
        <v>2076148</v>
      </c>
      <c r="M17" s="96">
        <f t="shared" si="1"/>
        <v>2147223</v>
      </c>
      <c r="N17" s="96">
        <f t="shared" si="1"/>
        <v>2226875</v>
      </c>
      <c r="O17" s="96">
        <f t="shared" si="1"/>
        <v>2261890</v>
      </c>
      <c r="P17" s="96">
        <f t="shared" si="1"/>
        <v>2373712</v>
      </c>
      <c r="Q17" s="96">
        <f t="shared" ref="Q17:S17" si="2">SUM(Q5:Q16)</f>
        <v>2440090</v>
      </c>
      <c r="R17" s="126">
        <f t="shared" ref="R17" si="3">SUM(R5:R16)</f>
        <v>2580517</v>
      </c>
      <c r="S17" s="126">
        <f t="shared" si="2"/>
        <v>2975162</v>
      </c>
      <c r="T17" s="126">
        <f t="shared" ref="T17:U17" si="4">SUM(T5:T16)</f>
        <v>3202471</v>
      </c>
      <c r="U17" s="126">
        <f t="shared" si="4"/>
        <v>3198603</v>
      </c>
    </row>
    <row r="18" spans="1:21" x14ac:dyDescent="0.2">
      <c r="A18" s="25"/>
      <c r="G18" s="1"/>
      <c r="H18" s="2"/>
      <c r="L18" s="94"/>
    </row>
    <row r="19" spans="1:21" x14ac:dyDescent="0.2">
      <c r="A19" s="25"/>
      <c r="F19" s="35" t="s">
        <v>110</v>
      </c>
      <c r="G19" s="2"/>
      <c r="H19" s="2"/>
      <c r="L19" s="94"/>
    </row>
    <row r="20" spans="1:21" x14ac:dyDescent="0.2">
      <c r="F20" s="35" t="s">
        <v>111</v>
      </c>
      <c r="G20" s="2"/>
      <c r="H20" s="2"/>
      <c r="L20" s="94"/>
    </row>
    <row r="21" spans="1:21" x14ac:dyDescent="0.2">
      <c r="A21" s="24" t="s">
        <v>81</v>
      </c>
      <c r="B21" s="148">
        <v>5.0000000000000001E-3</v>
      </c>
      <c r="D21" s="94" t="s">
        <v>194</v>
      </c>
      <c r="G21" s="2"/>
      <c r="H21" s="2"/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G23" s="2"/>
      <c r="H23" s="2"/>
    </row>
    <row r="24" spans="1:21" x14ac:dyDescent="0.2">
      <c r="A24" s="26" t="s">
        <v>0</v>
      </c>
      <c r="B24" s="12"/>
      <c r="C24" s="12"/>
      <c r="D24" s="1">
        <v>0</v>
      </c>
      <c r="E24" s="1">
        <v>4903.88</v>
      </c>
      <c r="F24" s="1">
        <v>5264</v>
      </c>
      <c r="G24" s="1">
        <v>6224</v>
      </c>
      <c r="H24" s="2">
        <v>9942</v>
      </c>
      <c r="I24" s="2">
        <v>10322</v>
      </c>
      <c r="J24" s="2">
        <v>8744</v>
      </c>
      <c r="K24" s="2">
        <v>13059</v>
      </c>
      <c r="L24" s="102">
        <v>7807</v>
      </c>
      <c r="M24" s="117">
        <v>24927</v>
      </c>
      <c r="N24" s="117">
        <v>8788</v>
      </c>
      <c r="O24" s="117">
        <v>13014</v>
      </c>
      <c r="P24" s="117">
        <v>8708</v>
      </c>
      <c r="Q24" s="117">
        <v>15638</v>
      </c>
      <c r="R24" s="1">
        <v>14246</v>
      </c>
      <c r="S24" s="1">
        <v>9976</v>
      </c>
      <c r="T24" s="1">
        <v>10852</v>
      </c>
      <c r="U24" s="1">
        <v>7728</v>
      </c>
    </row>
    <row r="25" spans="1:21" x14ac:dyDescent="0.2">
      <c r="A25" s="26" t="s">
        <v>1</v>
      </c>
      <c r="B25" s="12"/>
      <c r="C25" s="12"/>
      <c r="D25" s="1">
        <v>4992</v>
      </c>
      <c r="E25" s="1">
        <v>3707.74</v>
      </c>
      <c r="F25" s="1">
        <v>4057.98</v>
      </c>
      <c r="G25" s="1">
        <v>5649</v>
      </c>
      <c r="H25" s="2">
        <v>3696</v>
      </c>
      <c r="I25" s="2">
        <v>4806</v>
      </c>
      <c r="J25" s="2">
        <v>5307</v>
      </c>
      <c r="K25" s="2">
        <v>5731</v>
      </c>
      <c r="L25" s="102">
        <v>4663</v>
      </c>
      <c r="M25" s="117">
        <v>11133</v>
      </c>
      <c r="N25" s="117">
        <v>7321</v>
      </c>
      <c r="O25" s="117">
        <v>9425</v>
      </c>
      <c r="P25" s="117">
        <v>5796</v>
      </c>
      <c r="Q25" s="117">
        <v>8969</v>
      </c>
      <c r="R25" s="1">
        <v>14679</v>
      </c>
      <c r="S25" s="1">
        <v>7679</v>
      </c>
      <c r="T25" s="1">
        <v>10134</v>
      </c>
      <c r="U25" s="1">
        <v>12643</v>
      </c>
    </row>
    <row r="26" spans="1:21" x14ac:dyDescent="0.2">
      <c r="A26" s="26" t="s">
        <v>2</v>
      </c>
      <c r="B26" s="12"/>
      <c r="C26" s="12"/>
      <c r="D26" s="1">
        <v>2895</v>
      </c>
      <c r="E26" s="1">
        <f>3122.9-1</f>
        <v>3121.9</v>
      </c>
      <c r="F26" s="1">
        <f>2856+4</f>
        <v>2860</v>
      </c>
      <c r="G26" s="1">
        <v>11657</v>
      </c>
      <c r="H26" s="2">
        <v>3494</v>
      </c>
      <c r="I26" s="2">
        <v>19605</v>
      </c>
      <c r="J26" s="2">
        <v>4401</v>
      </c>
      <c r="K26" s="2">
        <v>4872</v>
      </c>
      <c r="L26" s="102">
        <v>5175</v>
      </c>
      <c r="M26" s="117">
        <v>4705</v>
      </c>
      <c r="N26" s="117">
        <v>13544</v>
      </c>
      <c r="O26" s="117">
        <v>4765</v>
      </c>
      <c r="P26" s="117">
        <v>5446</v>
      </c>
      <c r="Q26" s="117">
        <v>6472</v>
      </c>
      <c r="R26" s="1">
        <v>6156</v>
      </c>
      <c r="S26" s="1">
        <v>9933</v>
      </c>
      <c r="T26" s="1">
        <v>10529</v>
      </c>
      <c r="U26" s="1">
        <v>7206</v>
      </c>
    </row>
    <row r="27" spans="1:21" x14ac:dyDescent="0.2">
      <c r="A27" s="26" t="s">
        <v>3</v>
      </c>
      <c r="B27" s="12"/>
      <c r="C27" s="12"/>
      <c r="D27" s="1">
        <v>3427</v>
      </c>
      <c r="E27" s="1">
        <v>6147.76</v>
      </c>
      <c r="F27" s="1">
        <v>5534.36</v>
      </c>
      <c r="G27" s="1">
        <v>3652</v>
      </c>
      <c r="H27" s="2">
        <v>5639</v>
      </c>
      <c r="I27" s="2">
        <v>6104</v>
      </c>
      <c r="J27" s="2">
        <v>6428</v>
      </c>
      <c r="K27" s="2">
        <v>5274</v>
      </c>
      <c r="L27" s="102">
        <v>11301</v>
      </c>
      <c r="M27" s="117">
        <v>6588</v>
      </c>
      <c r="N27" s="117">
        <v>18581</v>
      </c>
      <c r="O27" s="117">
        <v>8449</v>
      </c>
      <c r="P27" s="117">
        <v>6694</v>
      </c>
      <c r="Q27" s="117">
        <v>6603</v>
      </c>
      <c r="R27" s="117">
        <v>6461</v>
      </c>
      <c r="S27" s="1">
        <v>7894</v>
      </c>
      <c r="T27" s="1">
        <v>8629</v>
      </c>
      <c r="U27" s="1">
        <v>10695</v>
      </c>
    </row>
    <row r="28" spans="1:21" x14ac:dyDescent="0.2">
      <c r="A28" s="26" t="s">
        <v>4</v>
      </c>
      <c r="B28" s="12"/>
      <c r="C28" s="12"/>
      <c r="D28" s="1">
        <f>3046-8</f>
        <v>3038</v>
      </c>
      <c r="E28" s="1">
        <v>4518</v>
      </c>
      <c r="F28" s="1">
        <v>9172.51</v>
      </c>
      <c r="G28" s="1">
        <v>6747</v>
      </c>
      <c r="H28" s="2">
        <v>4935</v>
      </c>
      <c r="I28" s="2">
        <v>6346</v>
      </c>
      <c r="J28" s="2">
        <v>5201</v>
      </c>
      <c r="K28" s="2">
        <v>5485</v>
      </c>
      <c r="L28" s="102">
        <v>18475</v>
      </c>
      <c r="M28" s="117">
        <v>11529</v>
      </c>
      <c r="N28" s="117">
        <v>38552</v>
      </c>
      <c r="O28" s="117">
        <v>9244</v>
      </c>
      <c r="P28" s="117">
        <v>10773</v>
      </c>
      <c r="Q28" s="117">
        <v>9054</v>
      </c>
      <c r="R28" s="1">
        <v>4998</v>
      </c>
      <c r="S28" s="1">
        <v>8892</v>
      </c>
      <c r="T28" s="1">
        <v>12569</v>
      </c>
      <c r="U28" s="1">
        <v>7708</v>
      </c>
    </row>
    <row r="29" spans="1:21" x14ac:dyDescent="0.2">
      <c r="A29" s="26" t="s">
        <v>5</v>
      </c>
      <c r="B29" s="12"/>
      <c r="C29" s="12"/>
      <c r="D29" s="1">
        <v>5346</v>
      </c>
      <c r="E29" s="1">
        <v>5235</v>
      </c>
      <c r="F29" s="1">
        <v>5988</v>
      </c>
      <c r="G29" s="1">
        <v>6068</v>
      </c>
      <c r="H29" s="2">
        <v>4283</v>
      </c>
      <c r="I29" s="2">
        <v>22135</v>
      </c>
      <c r="J29" s="2">
        <v>6006</v>
      </c>
      <c r="K29" s="2">
        <v>65841</v>
      </c>
      <c r="L29" s="102">
        <v>13063</v>
      </c>
      <c r="M29" s="117">
        <v>10730</v>
      </c>
      <c r="N29" s="117">
        <v>9256</v>
      </c>
      <c r="O29" s="117">
        <v>10226</v>
      </c>
      <c r="P29" s="117">
        <v>7511</v>
      </c>
      <c r="Q29" s="117">
        <v>7114</v>
      </c>
      <c r="R29" s="1">
        <v>6137</v>
      </c>
      <c r="S29" s="1">
        <v>7400</v>
      </c>
      <c r="T29" s="1">
        <v>10837</v>
      </c>
      <c r="U29" s="1">
        <v>12779</v>
      </c>
    </row>
    <row r="30" spans="1:21" x14ac:dyDescent="0.2">
      <c r="A30" s="26" t="s">
        <v>6</v>
      </c>
      <c r="B30" s="12"/>
      <c r="C30" s="12"/>
      <c r="D30" s="1">
        <v>3614</v>
      </c>
      <c r="E30" s="1">
        <v>3982</v>
      </c>
      <c r="F30" s="1">
        <v>5196.9399999999996</v>
      </c>
      <c r="G30" s="1">
        <v>8613</v>
      </c>
      <c r="H30" s="2">
        <v>6866</v>
      </c>
      <c r="I30" s="2">
        <v>6295</v>
      </c>
      <c r="J30" s="2">
        <v>7703</v>
      </c>
      <c r="K30" s="2">
        <v>6983</v>
      </c>
      <c r="L30" s="102">
        <v>7375</v>
      </c>
      <c r="M30" s="117">
        <v>8658</v>
      </c>
      <c r="N30" s="117">
        <v>17845</v>
      </c>
      <c r="O30" s="117">
        <v>8304</v>
      </c>
      <c r="P30" s="117">
        <v>5817</v>
      </c>
      <c r="Q30" s="117">
        <v>11645</v>
      </c>
      <c r="R30" s="1">
        <v>5625</v>
      </c>
      <c r="S30" s="1">
        <v>11485</v>
      </c>
      <c r="T30" s="1">
        <v>10584</v>
      </c>
      <c r="U30" s="1">
        <v>11531</v>
      </c>
    </row>
    <row r="31" spans="1:21" x14ac:dyDescent="0.2">
      <c r="A31" s="26" t="s">
        <v>7</v>
      </c>
      <c r="B31" s="12"/>
      <c r="C31" s="12"/>
      <c r="D31" s="1">
        <v>5967</v>
      </c>
      <c r="E31" s="1">
        <v>6455.11</v>
      </c>
      <c r="F31" s="1">
        <v>8399.01</v>
      </c>
      <c r="G31" s="1">
        <v>6913</v>
      </c>
      <c r="H31" s="2">
        <v>4430</v>
      </c>
      <c r="I31" s="2">
        <v>3910</v>
      </c>
      <c r="J31" s="2">
        <v>5815</v>
      </c>
      <c r="K31" s="2">
        <v>7541</v>
      </c>
      <c r="L31" s="102">
        <v>6589</v>
      </c>
      <c r="M31" s="117">
        <v>11970</v>
      </c>
      <c r="N31" s="117">
        <v>10390</v>
      </c>
      <c r="O31" s="117">
        <v>10418</v>
      </c>
      <c r="P31" s="117">
        <v>7594</v>
      </c>
      <c r="Q31" s="117">
        <v>11154</v>
      </c>
      <c r="R31" s="1">
        <v>8759</v>
      </c>
      <c r="S31" s="1">
        <v>9127</v>
      </c>
      <c r="T31" s="1">
        <v>10280</v>
      </c>
      <c r="U31" s="1">
        <v>10385</v>
      </c>
    </row>
    <row r="32" spans="1:21" x14ac:dyDescent="0.2">
      <c r="A32" s="26" t="s">
        <v>8</v>
      </c>
      <c r="B32" s="12"/>
      <c r="C32" s="12"/>
      <c r="D32" s="1">
        <v>4948</v>
      </c>
      <c r="E32" s="1">
        <v>9556.56</v>
      </c>
      <c r="F32" s="1">
        <v>6176</v>
      </c>
      <c r="G32" s="1">
        <v>5703</v>
      </c>
      <c r="H32" s="2">
        <v>4401</v>
      </c>
      <c r="I32" s="2">
        <v>6054</v>
      </c>
      <c r="J32" s="2">
        <v>6050</v>
      </c>
      <c r="K32" s="2">
        <v>9213</v>
      </c>
      <c r="L32" s="102">
        <v>16090</v>
      </c>
      <c r="M32" s="117">
        <v>7127</v>
      </c>
      <c r="N32" s="117">
        <v>9832</v>
      </c>
      <c r="O32" s="117">
        <v>53193</v>
      </c>
      <c r="P32" s="117">
        <v>8193</v>
      </c>
      <c r="Q32" s="117">
        <v>9258</v>
      </c>
      <c r="R32" s="2">
        <v>5834</v>
      </c>
      <c r="S32" s="1">
        <v>9717</v>
      </c>
      <c r="T32" s="1">
        <v>8932</v>
      </c>
      <c r="U32" s="1">
        <v>15257</v>
      </c>
    </row>
    <row r="33" spans="1:21" x14ac:dyDescent="0.2">
      <c r="A33" s="26" t="s">
        <v>9</v>
      </c>
      <c r="B33" s="12"/>
      <c r="C33" s="12"/>
      <c r="D33" s="1">
        <v>4187</v>
      </c>
      <c r="E33" s="1">
        <v>7661.29</v>
      </c>
      <c r="F33" s="1">
        <f>5428+5</f>
        <v>5433</v>
      </c>
      <c r="G33" s="1">
        <v>4892</v>
      </c>
      <c r="H33" s="2">
        <v>4919</v>
      </c>
      <c r="I33" s="2">
        <v>4770</v>
      </c>
      <c r="J33" s="2">
        <v>5269</v>
      </c>
      <c r="K33" s="2">
        <v>6092</v>
      </c>
      <c r="L33" s="102">
        <v>15848</v>
      </c>
      <c r="M33" s="117">
        <v>11531</v>
      </c>
      <c r="N33" s="117">
        <v>8293</v>
      </c>
      <c r="O33" s="117">
        <v>10258</v>
      </c>
      <c r="P33" s="117">
        <v>13872</v>
      </c>
      <c r="Q33" s="117">
        <v>21552</v>
      </c>
      <c r="R33" s="1">
        <v>11349</v>
      </c>
      <c r="S33" s="1">
        <v>14042</v>
      </c>
      <c r="T33" s="1">
        <v>9286</v>
      </c>
      <c r="U33" s="1">
        <v>15438</v>
      </c>
    </row>
    <row r="34" spans="1:21" x14ac:dyDescent="0.2">
      <c r="A34" s="26" t="s">
        <v>10</v>
      </c>
      <c r="B34" s="12"/>
      <c r="C34" s="12"/>
      <c r="D34" s="1">
        <v>4201</v>
      </c>
      <c r="E34" s="1">
        <v>9969.34</v>
      </c>
      <c r="F34" s="1"/>
      <c r="G34" s="1">
        <v>4587</v>
      </c>
      <c r="H34" s="2">
        <v>4825</v>
      </c>
      <c r="I34" s="2">
        <v>35304</v>
      </c>
      <c r="J34" s="2">
        <v>5814</v>
      </c>
      <c r="K34" s="2">
        <v>7167</v>
      </c>
      <c r="L34" s="102">
        <v>13488</v>
      </c>
      <c r="M34" s="117">
        <v>33071</v>
      </c>
      <c r="N34" s="117">
        <v>8195</v>
      </c>
      <c r="O34" s="117">
        <v>10123</v>
      </c>
      <c r="P34" s="117">
        <v>12212</v>
      </c>
      <c r="Q34" s="117">
        <v>25068</v>
      </c>
      <c r="R34" s="1">
        <v>6400</v>
      </c>
      <c r="S34" s="1">
        <v>6837</v>
      </c>
      <c r="T34" s="1">
        <v>21375</v>
      </c>
      <c r="U34" s="1">
        <v>13459</v>
      </c>
    </row>
    <row r="35" spans="1:21" ht="12.75" customHeight="1" x14ac:dyDescent="0.2">
      <c r="A35" s="49" t="s">
        <v>11</v>
      </c>
      <c r="B35" s="50"/>
      <c r="C35" s="51"/>
      <c r="D35" s="52">
        <v>4872.37</v>
      </c>
      <c r="E35" s="52">
        <v>5159.59</v>
      </c>
      <c r="F35" s="52">
        <v>9441</v>
      </c>
      <c r="G35" s="52">
        <v>5346</v>
      </c>
      <c r="H35" s="83">
        <v>4929</v>
      </c>
      <c r="I35" s="40">
        <v>5108</v>
      </c>
      <c r="J35" s="40">
        <v>5240</v>
      </c>
      <c r="K35" s="40">
        <v>11377</v>
      </c>
      <c r="L35" s="95">
        <v>11494</v>
      </c>
      <c r="M35" s="95">
        <v>21543</v>
      </c>
      <c r="N35" s="95">
        <v>7665</v>
      </c>
      <c r="O35" s="95">
        <v>9134</v>
      </c>
      <c r="P35" s="95">
        <v>7575</v>
      </c>
      <c r="Q35" s="95">
        <v>15091</v>
      </c>
      <c r="R35" s="1">
        <v>7098</v>
      </c>
      <c r="S35" s="1">
        <v>9081</v>
      </c>
      <c r="T35" s="1">
        <v>9870</v>
      </c>
      <c r="U35" s="1">
        <v>12385</v>
      </c>
    </row>
    <row r="36" spans="1:21" x14ac:dyDescent="0.2">
      <c r="A36" s="25"/>
      <c r="B36" s="14"/>
      <c r="C36" s="14"/>
      <c r="D36" s="41">
        <f t="shared" ref="D36:J36" si="5">SUM(D24:D35)</f>
        <v>47487.37</v>
      </c>
      <c r="E36" s="41">
        <f t="shared" si="5"/>
        <v>70418.17</v>
      </c>
      <c r="F36" s="41">
        <f t="shared" si="5"/>
        <v>67522.8</v>
      </c>
      <c r="G36" s="41">
        <f t="shared" si="5"/>
        <v>76051</v>
      </c>
      <c r="H36" s="41">
        <f t="shared" si="5"/>
        <v>62359</v>
      </c>
      <c r="I36" s="44">
        <f t="shared" si="5"/>
        <v>130759</v>
      </c>
      <c r="J36" s="44">
        <f t="shared" si="5"/>
        <v>71978</v>
      </c>
      <c r="K36" s="44">
        <f t="shared" ref="K36:P36" si="6">SUM(K24:K35)</f>
        <v>148635</v>
      </c>
      <c r="L36" s="96">
        <f t="shared" si="6"/>
        <v>131368</v>
      </c>
      <c r="M36" s="96">
        <f t="shared" si="6"/>
        <v>163512</v>
      </c>
      <c r="N36" s="96">
        <f t="shared" si="6"/>
        <v>158262</v>
      </c>
      <c r="O36" s="96">
        <f t="shared" si="6"/>
        <v>156553</v>
      </c>
      <c r="P36" s="96">
        <f t="shared" si="6"/>
        <v>100191</v>
      </c>
      <c r="Q36" s="96">
        <f t="shared" ref="Q36:S36" si="7">SUM(Q24:Q35)</f>
        <v>147618</v>
      </c>
      <c r="R36" s="126">
        <f t="shared" ref="R36" si="8">SUM(R24:R35)</f>
        <v>97742</v>
      </c>
      <c r="S36" s="126">
        <f t="shared" si="7"/>
        <v>112063</v>
      </c>
      <c r="T36" s="126">
        <f t="shared" ref="T36:U36" si="9">SUM(T24:T35)</f>
        <v>133877</v>
      </c>
      <c r="U36" s="126">
        <f t="shared" si="9"/>
        <v>137214</v>
      </c>
    </row>
    <row r="37" spans="1:21" x14ac:dyDescent="0.2">
      <c r="G37" s="1"/>
      <c r="H37" s="2"/>
      <c r="L37" s="94"/>
    </row>
    <row r="38" spans="1:21" x14ac:dyDescent="0.2">
      <c r="G38" s="1"/>
      <c r="H38" s="2"/>
    </row>
    <row r="39" spans="1:21" x14ac:dyDescent="0.2">
      <c r="A39" s="29" t="s">
        <v>256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0</v>
      </c>
      <c r="K42" s="2">
        <v>-4893</v>
      </c>
      <c r="L42" s="2">
        <v>-4340</v>
      </c>
      <c r="M42" s="2">
        <v>0</v>
      </c>
      <c r="N42" s="2">
        <v>-53</v>
      </c>
      <c r="O42" s="117">
        <v>0</v>
      </c>
      <c r="P42" s="117">
        <v>-94</v>
      </c>
      <c r="Q42" s="117">
        <v>-6</v>
      </c>
      <c r="R42" s="1">
        <v>-15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-305</v>
      </c>
      <c r="H43" s="2">
        <v>-3773</v>
      </c>
      <c r="I43" s="2">
        <v>-16348</v>
      </c>
      <c r="J43" s="2">
        <v>-17</v>
      </c>
      <c r="K43" s="2">
        <v>-501</v>
      </c>
      <c r="L43" s="2">
        <v>-23</v>
      </c>
      <c r="M43" s="2">
        <v>0</v>
      </c>
      <c r="N43" s="2">
        <v>-573</v>
      </c>
      <c r="O43" s="117">
        <v>-9</v>
      </c>
      <c r="P43" s="117">
        <v>0</v>
      </c>
      <c r="Q43" s="117">
        <v>-258</v>
      </c>
      <c r="R43" s="113">
        <v>-1</v>
      </c>
      <c r="S43" s="117">
        <v>0</v>
      </c>
      <c r="T43" s="1">
        <v>0</v>
      </c>
      <c r="U43" s="117">
        <v>-4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-5076</v>
      </c>
      <c r="H44" s="2">
        <v>-97</v>
      </c>
      <c r="I44" s="2">
        <v>-12223</v>
      </c>
      <c r="J44" s="2">
        <v>-449</v>
      </c>
      <c r="K44" s="2">
        <v>0</v>
      </c>
      <c r="L44" s="2">
        <v>-13</v>
      </c>
      <c r="M44" s="2">
        <v>-370</v>
      </c>
      <c r="N44" s="2">
        <v>-107</v>
      </c>
      <c r="O44" s="117">
        <v>-2415</v>
      </c>
      <c r="P44" s="117">
        <v>-9448</v>
      </c>
      <c r="Q44" s="117">
        <v>0</v>
      </c>
      <c r="R44" s="113">
        <v>-77</v>
      </c>
      <c r="S44" s="117">
        <v>-10</v>
      </c>
      <c r="T44" s="1">
        <v>-1333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-201</v>
      </c>
      <c r="I45" s="2">
        <v>-1418</v>
      </c>
      <c r="J45" s="2">
        <v>-343</v>
      </c>
      <c r="K45" s="2">
        <v>-1448</v>
      </c>
      <c r="L45" s="2">
        <v>-1</v>
      </c>
      <c r="M45" s="2">
        <v>-1056</v>
      </c>
      <c r="N45" s="2">
        <v>-212</v>
      </c>
      <c r="O45" s="117">
        <v>-165</v>
      </c>
      <c r="P45" s="117">
        <v>-37</v>
      </c>
      <c r="Q45" s="117">
        <v>-62</v>
      </c>
      <c r="R45" s="1">
        <v>-79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-1229</v>
      </c>
      <c r="H46" s="2">
        <v>-135</v>
      </c>
      <c r="I46" s="2">
        <v>0</v>
      </c>
      <c r="J46" s="2">
        <v>-1206</v>
      </c>
      <c r="K46" s="2">
        <v>0</v>
      </c>
      <c r="L46" s="2">
        <v>0</v>
      </c>
      <c r="M46" s="2">
        <v>-15</v>
      </c>
      <c r="N46" s="2">
        <v>0</v>
      </c>
      <c r="O46" s="117">
        <v>-247</v>
      </c>
      <c r="P46" s="117">
        <v>-76</v>
      </c>
      <c r="Q46" s="117">
        <v>0</v>
      </c>
      <c r="R46" s="1">
        <v>-1</v>
      </c>
      <c r="S46" s="117">
        <v>0</v>
      </c>
      <c r="T46" s="1">
        <v>-1042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-160</v>
      </c>
      <c r="I47" s="2">
        <v>-8</v>
      </c>
      <c r="J47" s="2">
        <v>0</v>
      </c>
      <c r="K47" s="2">
        <v>-202</v>
      </c>
      <c r="L47" s="2">
        <v>0</v>
      </c>
      <c r="M47" s="2">
        <v>-337</v>
      </c>
      <c r="N47" s="2">
        <v>-2852</v>
      </c>
      <c r="O47" s="117">
        <v>-4932</v>
      </c>
      <c r="P47" s="117">
        <v>-88</v>
      </c>
      <c r="Q47" s="117">
        <v>-1</v>
      </c>
      <c r="R47" s="1">
        <v>-81</v>
      </c>
      <c r="S47" s="117">
        <v>-373</v>
      </c>
      <c r="T47" s="1">
        <v>-8888</v>
      </c>
      <c r="U47" s="117">
        <v>-66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-3086</v>
      </c>
      <c r="H48" s="2">
        <v>0</v>
      </c>
      <c r="I48" s="2">
        <v>-39</v>
      </c>
      <c r="J48" s="2">
        <v>-128</v>
      </c>
      <c r="K48" s="2">
        <v>0</v>
      </c>
      <c r="L48" s="2">
        <v>-9</v>
      </c>
      <c r="M48" s="2">
        <v>-1483</v>
      </c>
      <c r="N48" s="2">
        <v>0</v>
      </c>
      <c r="O48" s="117">
        <v>-217</v>
      </c>
      <c r="P48" s="117">
        <v>0</v>
      </c>
      <c r="Q48" s="117">
        <v>-5</v>
      </c>
      <c r="R48" s="1">
        <v>-2</v>
      </c>
      <c r="S48" s="117">
        <v>0</v>
      </c>
      <c r="T48" s="1">
        <v>-9</v>
      </c>
      <c r="U48" s="117">
        <v>-431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-1846</v>
      </c>
      <c r="H49" s="2">
        <v>-668</v>
      </c>
      <c r="I49" s="2">
        <v>-66</v>
      </c>
      <c r="J49" s="2">
        <v>-43</v>
      </c>
      <c r="K49" s="2">
        <v>-193</v>
      </c>
      <c r="L49" s="2">
        <v>-319</v>
      </c>
      <c r="M49" s="2">
        <v>-3014</v>
      </c>
      <c r="N49" s="2">
        <v>-558</v>
      </c>
      <c r="O49" s="117">
        <v>-70</v>
      </c>
      <c r="P49" s="117">
        <v>0</v>
      </c>
      <c r="Q49" s="117">
        <v>-133</v>
      </c>
      <c r="R49" s="117">
        <v>-272</v>
      </c>
      <c r="S49" s="117">
        <v>0</v>
      </c>
      <c r="T49" s="1">
        <v>0</v>
      </c>
      <c r="U49" s="117">
        <v>-313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-52</v>
      </c>
      <c r="H50" s="2">
        <v>-153</v>
      </c>
      <c r="I50" s="2">
        <v>-274</v>
      </c>
      <c r="J50" s="2">
        <v>-6422</v>
      </c>
      <c r="K50" s="2">
        <v>-4677</v>
      </c>
      <c r="L50" s="2">
        <v>-1845</v>
      </c>
      <c r="M50" s="2">
        <v>-53</v>
      </c>
      <c r="N50" s="2">
        <v>-1597</v>
      </c>
      <c r="O50" s="117">
        <v>-16</v>
      </c>
      <c r="P50" s="117">
        <v>0</v>
      </c>
      <c r="Q50" s="117">
        <v>-1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-24</v>
      </c>
      <c r="H51" s="2">
        <v>-32</v>
      </c>
      <c r="I51" s="2">
        <v>-18</v>
      </c>
      <c r="J51" s="2">
        <v>-3</v>
      </c>
      <c r="K51" s="2">
        <v>-27</v>
      </c>
      <c r="L51" s="2">
        <v>-2855</v>
      </c>
      <c r="M51" s="2">
        <v>-2483</v>
      </c>
      <c r="N51" s="2">
        <v>-217</v>
      </c>
      <c r="O51" s="117">
        <v>-8</v>
      </c>
      <c r="P51" s="117">
        <v>-90</v>
      </c>
      <c r="Q51" s="117">
        <v>0</v>
      </c>
      <c r="R51" s="117">
        <v>0</v>
      </c>
      <c r="S51" s="117">
        <v>-54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-121</v>
      </c>
      <c r="H52" s="2">
        <v>-154</v>
      </c>
      <c r="I52" s="2">
        <v>-6258</v>
      </c>
      <c r="J52" s="2">
        <v>0</v>
      </c>
      <c r="K52" s="2">
        <v>0</v>
      </c>
      <c r="L52" s="2">
        <v>-438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-291</v>
      </c>
      <c r="S52" s="117">
        <v>0</v>
      </c>
      <c r="T52" s="1">
        <v>0</v>
      </c>
      <c r="U52" s="1">
        <v>-9930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-1</v>
      </c>
      <c r="G53" s="40">
        <v>-5</v>
      </c>
      <c r="H53" s="40">
        <v>0</v>
      </c>
      <c r="I53" s="40">
        <v>-6508</v>
      </c>
      <c r="J53" s="40">
        <v>-818</v>
      </c>
      <c r="K53" s="40">
        <v>-518</v>
      </c>
      <c r="L53" s="40">
        <v>-12379</v>
      </c>
      <c r="M53" s="40">
        <v>-5635</v>
      </c>
      <c r="N53" s="40">
        <v>0</v>
      </c>
      <c r="O53" s="40">
        <v>-1071</v>
      </c>
      <c r="P53" s="40">
        <v>-9</v>
      </c>
      <c r="Q53" s="40">
        <v>0</v>
      </c>
      <c r="R53" s="40">
        <v>0</v>
      </c>
      <c r="S53" s="183">
        <v>0</v>
      </c>
      <c r="T53" s="1">
        <v>-14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-1</v>
      </c>
      <c r="G54" s="126">
        <f t="shared" si="10"/>
        <v>-11744</v>
      </c>
      <c r="H54" s="126">
        <f t="shared" si="10"/>
        <v>-5373</v>
      </c>
      <c r="I54" s="126">
        <f t="shared" si="10"/>
        <v>-43160</v>
      </c>
      <c r="J54" s="126">
        <f t="shared" si="10"/>
        <v>-9429</v>
      </c>
      <c r="K54" s="126">
        <f t="shared" si="10"/>
        <v>-12459</v>
      </c>
      <c r="L54" s="126">
        <f t="shared" si="10"/>
        <v>-22222</v>
      </c>
      <c r="M54" s="126">
        <f t="shared" si="10"/>
        <v>-14446</v>
      </c>
      <c r="N54" s="126">
        <f t="shared" si="10"/>
        <v>-6169</v>
      </c>
      <c r="O54" s="96">
        <f>SUM(O42:O53)</f>
        <v>-9150</v>
      </c>
      <c r="P54" s="96">
        <f>SUM(P42:P53)</f>
        <v>-9842</v>
      </c>
      <c r="Q54" s="96">
        <f>SUM(Q42:Q53)</f>
        <v>-466</v>
      </c>
      <c r="R54" s="126">
        <f t="shared" ref="R54" si="11">SUM(R42:R53)</f>
        <v>-819</v>
      </c>
      <c r="S54" s="126">
        <f>SUM(S42:S53)</f>
        <v>-437</v>
      </c>
      <c r="T54" s="126">
        <f t="shared" ref="T54" si="12">SUM(T42:T53)</f>
        <v>-11286</v>
      </c>
      <c r="U54" s="126">
        <f>SUM(U42:U53)</f>
        <v>-10744</v>
      </c>
    </row>
  </sheetData>
  <phoneticPr fontId="6" type="noConversion"/>
  <pageMargins left="0.25" right="0.2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U56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2" width="5.28515625" bestFit="1" customWidth="1"/>
    <col min="3" max="3" width="5.5703125" bestFit="1" customWidth="1"/>
    <col min="4" max="11" width="11.7109375" bestFit="1" customWidth="1"/>
    <col min="12" max="12" width="11.7109375" customWidth="1"/>
    <col min="13" max="21" width="11.7109375" bestFit="1" customWidth="1"/>
  </cols>
  <sheetData>
    <row r="1" spans="1:21" x14ac:dyDescent="0.2">
      <c r="B1" s="20"/>
    </row>
    <row r="2" spans="1:21" x14ac:dyDescent="0.2">
      <c r="A2" s="24" t="s">
        <v>64</v>
      </c>
      <c r="B2" s="175">
        <v>1.4999999999999999E-2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1"/>
      <c r="C5" s="22"/>
      <c r="D5" s="2">
        <v>1100000</v>
      </c>
      <c r="E5" s="2">
        <f>1150061.81-361</f>
        <v>1149700.81</v>
      </c>
      <c r="F5" s="2">
        <v>1150477.43</v>
      </c>
      <c r="G5" s="1">
        <v>1202596</v>
      </c>
      <c r="H5" s="1">
        <v>1080470</v>
      </c>
      <c r="I5" s="1">
        <v>1293108</v>
      </c>
      <c r="J5" s="2">
        <v>1216559</v>
      </c>
      <c r="K5" s="2">
        <v>1244904</v>
      </c>
      <c r="L5" s="102">
        <v>1204872</v>
      </c>
      <c r="M5" s="117">
        <v>1248226</v>
      </c>
      <c r="N5" s="117">
        <v>1377822</v>
      </c>
      <c r="O5" s="117">
        <v>1368880</v>
      </c>
      <c r="P5" s="117">
        <v>1342642</v>
      </c>
      <c r="Q5" s="117">
        <v>1430798</v>
      </c>
      <c r="R5" s="1">
        <v>2180025</v>
      </c>
      <c r="S5" s="1">
        <v>2065588</v>
      </c>
      <c r="T5" s="1">
        <v>2319004</v>
      </c>
      <c r="U5" s="1">
        <v>2651363</v>
      </c>
    </row>
    <row r="6" spans="1:21" x14ac:dyDescent="0.2">
      <c r="A6" s="26" t="s">
        <v>1</v>
      </c>
      <c r="B6" s="21"/>
      <c r="C6" s="22"/>
      <c r="D6" s="2">
        <v>636784</v>
      </c>
      <c r="E6" s="2">
        <f>803323.18+12</f>
        <v>803335.18</v>
      </c>
      <c r="F6" s="2">
        <v>811649.93</v>
      </c>
      <c r="G6" s="1">
        <v>916337</v>
      </c>
      <c r="H6" s="1">
        <v>758611</v>
      </c>
      <c r="I6" s="1">
        <v>828005</v>
      </c>
      <c r="J6" s="2">
        <v>847692</v>
      </c>
      <c r="K6" s="2">
        <v>890505</v>
      </c>
      <c r="L6" s="102">
        <v>917223</v>
      </c>
      <c r="M6" s="117">
        <v>980647</v>
      </c>
      <c r="N6" s="117">
        <v>943946</v>
      </c>
      <c r="O6" s="117">
        <v>938801</v>
      </c>
      <c r="P6" s="117">
        <v>991726</v>
      </c>
      <c r="Q6" s="117">
        <v>1016440</v>
      </c>
      <c r="R6" s="1">
        <v>1564709</v>
      </c>
      <c r="S6" s="1">
        <v>1585307</v>
      </c>
      <c r="T6" s="1">
        <v>1786268</v>
      </c>
      <c r="U6" s="1">
        <v>2023633</v>
      </c>
    </row>
    <row r="7" spans="1:21" x14ac:dyDescent="0.2">
      <c r="A7" s="26" t="s">
        <v>2</v>
      </c>
      <c r="B7" s="21"/>
      <c r="C7" s="22"/>
      <c r="D7" s="2">
        <v>714252</v>
      </c>
      <c r="E7" s="2">
        <v>762679.07</v>
      </c>
      <c r="F7" s="2">
        <v>813192.23</v>
      </c>
      <c r="G7" s="2">
        <v>840876</v>
      </c>
      <c r="H7" s="2">
        <v>783762</v>
      </c>
      <c r="I7" s="2">
        <v>824165</v>
      </c>
      <c r="J7" s="2">
        <v>850853</v>
      </c>
      <c r="K7" s="2">
        <v>878447</v>
      </c>
      <c r="L7" s="106">
        <v>882235</v>
      </c>
      <c r="M7" s="117">
        <v>958111</v>
      </c>
      <c r="N7" s="117">
        <v>984618</v>
      </c>
      <c r="O7" s="117">
        <v>886866</v>
      </c>
      <c r="P7" s="117">
        <v>906465</v>
      </c>
      <c r="Q7" s="117">
        <v>965453</v>
      </c>
      <c r="R7" s="1">
        <v>1526023</v>
      </c>
      <c r="S7" s="1">
        <v>1608473</v>
      </c>
      <c r="T7" s="1">
        <v>1783066</v>
      </c>
      <c r="U7" s="1">
        <v>1958302</v>
      </c>
    </row>
    <row r="8" spans="1:21" x14ac:dyDescent="0.2">
      <c r="A8" s="26" t="s">
        <v>3</v>
      </c>
      <c r="B8" s="21"/>
      <c r="C8" s="22"/>
      <c r="D8" s="2">
        <v>850040.92</v>
      </c>
      <c r="E8" s="2">
        <v>907497.1</v>
      </c>
      <c r="F8" s="2">
        <v>895118.82</v>
      </c>
      <c r="G8" s="1">
        <v>823453</v>
      </c>
      <c r="H8" s="2">
        <v>918438</v>
      </c>
      <c r="I8" s="2">
        <v>917031</v>
      </c>
      <c r="J8" s="2">
        <v>970290</v>
      </c>
      <c r="K8" s="2">
        <v>973274</v>
      </c>
      <c r="L8" s="106">
        <v>1014022</v>
      </c>
      <c r="M8" s="117">
        <v>1079057</v>
      </c>
      <c r="N8" s="117">
        <v>1109290</v>
      </c>
      <c r="O8" s="117">
        <v>1066144</v>
      </c>
      <c r="P8" s="117">
        <v>1103695</v>
      </c>
      <c r="Q8" s="117">
        <v>1155148</v>
      </c>
      <c r="R8" s="1">
        <v>1543213</v>
      </c>
      <c r="S8" s="1">
        <v>2157028</v>
      </c>
      <c r="T8" s="1">
        <v>2308919</v>
      </c>
      <c r="U8" s="1">
        <v>2289822</v>
      </c>
    </row>
    <row r="9" spans="1:21" x14ac:dyDescent="0.2">
      <c r="A9" s="26" t="s">
        <v>4</v>
      </c>
      <c r="B9" s="21"/>
      <c r="C9" s="22"/>
      <c r="D9" s="2">
        <f>768163.6+24</f>
        <v>768187.6</v>
      </c>
      <c r="E9" s="2">
        <v>814622.74</v>
      </c>
      <c r="F9" s="2">
        <f>828221.89-395</f>
        <v>827826.89</v>
      </c>
      <c r="G9" s="1">
        <v>791359</v>
      </c>
      <c r="H9" s="2">
        <v>824062</v>
      </c>
      <c r="I9" s="2">
        <v>914077</v>
      </c>
      <c r="J9" s="2">
        <v>884184</v>
      </c>
      <c r="K9" s="2">
        <v>897161</v>
      </c>
      <c r="L9" s="106">
        <v>964869</v>
      </c>
      <c r="M9" s="117">
        <v>1013959</v>
      </c>
      <c r="N9" s="117">
        <v>1059982</v>
      </c>
      <c r="O9" s="117">
        <v>1028633</v>
      </c>
      <c r="P9" s="117">
        <v>1023261</v>
      </c>
      <c r="Q9" s="117">
        <v>1148645</v>
      </c>
      <c r="R9" s="1">
        <v>1230669</v>
      </c>
      <c r="S9" s="1">
        <v>1879028</v>
      </c>
      <c r="T9" s="1">
        <v>1993723</v>
      </c>
      <c r="U9" s="1">
        <v>2134625</v>
      </c>
    </row>
    <row r="10" spans="1:21" x14ac:dyDescent="0.2">
      <c r="A10" s="26" t="s">
        <v>5</v>
      </c>
      <c r="B10" s="21"/>
      <c r="C10" s="22"/>
      <c r="D10" s="2">
        <v>851783.55</v>
      </c>
      <c r="E10" s="2">
        <v>909642.13</v>
      </c>
      <c r="F10" s="2">
        <v>951780.76</v>
      </c>
      <c r="G10" s="1">
        <v>820463</v>
      </c>
      <c r="H10" s="2">
        <v>887143</v>
      </c>
      <c r="I10" s="2">
        <v>926239</v>
      </c>
      <c r="J10" s="2">
        <v>913584</v>
      </c>
      <c r="K10" s="2">
        <v>1035556</v>
      </c>
      <c r="L10" s="106">
        <v>1040996</v>
      </c>
      <c r="M10" s="117">
        <v>1099861</v>
      </c>
      <c r="N10" s="117">
        <v>1122756</v>
      </c>
      <c r="O10" s="117">
        <v>1086942</v>
      </c>
      <c r="P10" s="117">
        <v>1160116</v>
      </c>
      <c r="Q10" s="117">
        <v>1191641</v>
      </c>
      <c r="R10" s="1">
        <v>1505662</v>
      </c>
      <c r="S10" s="1">
        <v>1980684</v>
      </c>
      <c r="T10" s="1">
        <v>2597716</v>
      </c>
      <c r="U10" s="1">
        <v>2392235</v>
      </c>
    </row>
    <row r="11" spans="1:21" x14ac:dyDescent="0.2">
      <c r="A11" s="26" t="s">
        <v>6</v>
      </c>
      <c r="B11" s="21"/>
      <c r="C11" s="22"/>
      <c r="D11" s="2">
        <v>752721.99</v>
      </c>
      <c r="E11" s="2">
        <f>867655.14-150</f>
        <v>867505.14</v>
      </c>
      <c r="F11" s="2">
        <v>878346.3</v>
      </c>
      <c r="G11" s="1">
        <v>726617</v>
      </c>
      <c r="H11" s="2">
        <v>853723</v>
      </c>
      <c r="I11" s="2">
        <v>946892</v>
      </c>
      <c r="J11" s="2">
        <v>946288</v>
      </c>
      <c r="K11" s="2">
        <v>933866</v>
      </c>
      <c r="L11" s="106">
        <v>1034958</v>
      </c>
      <c r="M11" s="117">
        <v>1048169</v>
      </c>
      <c r="N11" s="117">
        <v>1085855</v>
      </c>
      <c r="O11" s="117">
        <v>1138691</v>
      </c>
      <c r="P11" s="117">
        <v>1125659</v>
      </c>
      <c r="Q11" s="117">
        <v>1196854</v>
      </c>
      <c r="R11" s="1">
        <v>1697589</v>
      </c>
      <c r="S11" s="1">
        <v>2220432</v>
      </c>
      <c r="T11" s="1">
        <v>2490688</v>
      </c>
      <c r="U11" s="1">
        <v>2773536</v>
      </c>
    </row>
    <row r="12" spans="1:21" x14ac:dyDescent="0.2">
      <c r="A12" s="26" t="s">
        <v>7</v>
      </c>
      <c r="B12" s="21"/>
      <c r="C12" s="22"/>
      <c r="D12" s="2">
        <f>1100946.68+1078</f>
        <v>1102024.68</v>
      </c>
      <c r="E12" s="2">
        <f>1145882.18+491</f>
        <v>1146373.18</v>
      </c>
      <c r="F12" s="2">
        <v>1177959.93</v>
      </c>
      <c r="G12" s="1">
        <v>1145246</v>
      </c>
      <c r="H12" s="2">
        <v>1151985</v>
      </c>
      <c r="I12" s="2">
        <v>1157538</v>
      </c>
      <c r="J12" s="2">
        <v>1189067</v>
      </c>
      <c r="K12" s="2">
        <v>1307589</v>
      </c>
      <c r="L12" s="106">
        <v>1379029</v>
      </c>
      <c r="M12" s="117">
        <v>1430738</v>
      </c>
      <c r="N12" s="117">
        <v>1384637</v>
      </c>
      <c r="O12" s="117">
        <v>1329476</v>
      </c>
      <c r="P12" s="117">
        <v>1451033</v>
      </c>
      <c r="Q12" s="117">
        <v>1505644</v>
      </c>
      <c r="R12" s="1">
        <v>2116659</v>
      </c>
      <c r="S12" s="1">
        <v>2507230</v>
      </c>
      <c r="T12" s="1">
        <v>2457895</v>
      </c>
      <c r="U12" s="1">
        <v>2669053</v>
      </c>
    </row>
    <row r="13" spans="1:21" x14ac:dyDescent="0.2">
      <c r="A13" s="26" t="s">
        <v>8</v>
      </c>
      <c r="B13" s="21"/>
      <c r="C13" s="22"/>
      <c r="D13" s="2">
        <v>958702.59</v>
      </c>
      <c r="E13" s="2">
        <v>1010893.21</v>
      </c>
      <c r="F13" s="2">
        <v>1014974.82</v>
      </c>
      <c r="G13" s="1">
        <v>913064</v>
      </c>
      <c r="H13" s="2">
        <v>1042962</v>
      </c>
      <c r="I13" s="2">
        <v>1070810</v>
      </c>
      <c r="J13" s="2">
        <v>1142752</v>
      </c>
      <c r="K13" s="2">
        <v>1144006</v>
      </c>
      <c r="L13" s="106">
        <v>1209391</v>
      </c>
      <c r="M13" s="117">
        <v>1227345</v>
      </c>
      <c r="N13" s="117">
        <v>1263076</v>
      </c>
      <c r="O13" s="117">
        <v>1292274</v>
      </c>
      <c r="P13" s="117">
        <v>1320131</v>
      </c>
      <c r="Q13" s="117">
        <v>1388607</v>
      </c>
      <c r="R13" s="2">
        <v>1975566</v>
      </c>
      <c r="S13" s="1">
        <v>2300921</v>
      </c>
      <c r="T13" s="1">
        <v>2628382</v>
      </c>
      <c r="U13" s="1">
        <v>2727009</v>
      </c>
    </row>
    <row r="14" spans="1:21" x14ac:dyDescent="0.2">
      <c r="A14" s="26" t="s">
        <v>9</v>
      </c>
      <c r="B14" s="21"/>
      <c r="C14" s="22"/>
      <c r="D14" s="2">
        <f>971084.17+54</f>
        <v>971138.17</v>
      </c>
      <c r="E14" s="2">
        <v>1012141.04</v>
      </c>
      <c r="F14" s="2">
        <f>1060002.79+1737</f>
        <v>1061739.79</v>
      </c>
      <c r="G14" s="1">
        <v>1006823</v>
      </c>
      <c r="H14" s="2">
        <v>1078319</v>
      </c>
      <c r="I14" s="2">
        <v>1100150</v>
      </c>
      <c r="J14" s="2">
        <v>1108974</v>
      </c>
      <c r="K14" s="2">
        <v>1148424</v>
      </c>
      <c r="L14" s="106">
        <v>1208922</v>
      </c>
      <c r="M14" s="117">
        <v>1253834</v>
      </c>
      <c r="N14" s="117">
        <v>1249606</v>
      </c>
      <c r="O14" s="117">
        <v>1262801</v>
      </c>
      <c r="P14" s="117">
        <v>1267794</v>
      </c>
      <c r="Q14" s="117">
        <v>1351088</v>
      </c>
      <c r="R14" s="1">
        <v>2018896</v>
      </c>
      <c r="S14" s="1">
        <v>2443761</v>
      </c>
      <c r="T14" s="1">
        <v>2601085</v>
      </c>
      <c r="U14" s="1">
        <v>2651005</v>
      </c>
    </row>
    <row r="15" spans="1:21" x14ac:dyDescent="0.2">
      <c r="A15" s="26" t="s">
        <v>10</v>
      </c>
      <c r="B15" s="21"/>
      <c r="C15" s="22"/>
      <c r="D15" s="2">
        <v>872638.32</v>
      </c>
      <c r="E15" s="2">
        <v>931766.98</v>
      </c>
      <c r="F15" s="2"/>
      <c r="G15" s="1">
        <v>876361</v>
      </c>
      <c r="H15" s="2">
        <v>977353</v>
      </c>
      <c r="I15" s="2">
        <v>997636</v>
      </c>
      <c r="J15" s="2">
        <v>1038935</v>
      </c>
      <c r="K15" s="2">
        <v>1083089</v>
      </c>
      <c r="L15" s="106">
        <v>1202724</v>
      </c>
      <c r="M15" s="117">
        <v>1203905</v>
      </c>
      <c r="N15" s="117">
        <v>1168396</v>
      </c>
      <c r="O15" s="117">
        <v>1163128</v>
      </c>
      <c r="P15" s="117">
        <v>1256779</v>
      </c>
      <c r="Q15" s="117">
        <v>1878761</v>
      </c>
      <c r="R15" s="1">
        <v>1846266</v>
      </c>
      <c r="S15" s="1">
        <v>2125529</v>
      </c>
      <c r="T15" s="1">
        <v>2403009</v>
      </c>
      <c r="U15" s="1">
        <v>2497829</v>
      </c>
    </row>
    <row r="16" spans="1:21" x14ac:dyDescent="0.2">
      <c r="A16" s="26" t="s">
        <v>11</v>
      </c>
      <c r="B16" s="8"/>
      <c r="C16" s="23"/>
      <c r="D16" s="37">
        <v>925267.16</v>
      </c>
      <c r="E16" s="37">
        <v>916494.18</v>
      </c>
      <c r="F16" s="37">
        <v>1573405</v>
      </c>
      <c r="G16" s="39">
        <v>842382</v>
      </c>
      <c r="H16" s="39">
        <v>934411</v>
      </c>
      <c r="I16" s="40">
        <v>926885</v>
      </c>
      <c r="J16" s="40">
        <v>986061</v>
      </c>
      <c r="K16" s="40">
        <v>1019220</v>
      </c>
      <c r="L16" s="95">
        <v>1150050</v>
      </c>
      <c r="M16" s="95">
        <v>1155927</v>
      </c>
      <c r="N16" s="95">
        <v>1106518</v>
      </c>
      <c r="O16" s="95">
        <v>1117621</v>
      </c>
      <c r="P16" s="95">
        <v>1199884</v>
      </c>
      <c r="Q16" s="95">
        <v>1684209</v>
      </c>
      <c r="R16" s="1">
        <v>1704728</v>
      </c>
      <c r="S16" s="1">
        <v>2045675</v>
      </c>
      <c r="T16" s="1">
        <v>2561862</v>
      </c>
      <c r="U16" s="1">
        <v>2237458</v>
      </c>
    </row>
    <row r="17" spans="1:21" x14ac:dyDescent="0.2">
      <c r="A17" s="25"/>
      <c r="B17" s="4"/>
      <c r="C17" s="14"/>
      <c r="D17" s="41">
        <f t="shared" ref="D17:I17" si="0">SUM(D5:D16)</f>
        <v>10503540.98</v>
      </c>
      <c r="E17" s="41">
        <f t="shared" si="0"/>
        <v>11232650.76</v>
      </c>
      <c r="F17" s="41">
        <f t="shared" si="0"/>
        <v>11156471.899999999</v>
      </c>
      <c r="G17" s="44">
        <f t="shared" si="0"/>
        <v>10905577</v>
      </c>
      <c r="H17" s="44">
        <f t="shared" si="0"/>
        <v>11291239</v>
      </c>
      <c r="I17" s="44">
        <f t="shared" si="0"/>
        <v>11902536</v>
      </c>
      <c r="J17" s="44">
        <f t="shared" ref="J17:O17" si="1">SUM(J5:J16)</f>
        <v>12095239</v>
      </c>
      <c r="K17" s="44">
        <f t="shared" si="1"/>
        <v>12556041</v>
      </c>
      <c r="L17" s="96">
        <f t="shared" si="1"/>
        <v>13209291</v>
      </c>
      <c r="M17" s="96">
        <f t="shared" si="1"/>
        <v>13699779</v>
      </c>
      <c r="N17" s="96">
        <f t="shared" si="1"/>
        <v>13856502</v>
      </c>
      <c r="O17" s="96">
        <f t="shared" si="1"/>
        <v>13680257</v>
      </c>
      <c r="P17" s="96">
        <f t="shared" ref="P17:Q17" si="2">SUM(P5:P16)</f>
        <v>14149185</v>
      </c>
      <c r="Q17" s="96">
        <f t="shared" si="2"/>
        <v>15913288</v>
      </c>
      <c r="R17" s="126">
        <f t="shared" ref="R17:S17" si="3">SUM(R5:R16)</f>
        <v>20910005</v>
      </c>
      <c r="S17" s="126">
        <f t="shared" si="3"/>
        <v>24919656</v>
      </c>
      <c r="T17" s="126">
        <f t="shared" ref="T17:U17" si="4">SUM(T5:T16)</f>
        <v>27931617</v>
      </c>
      <c r="U17" s="126">
        <f t="shared" si="4"/>
        <v>29005870</v>
      </c>
    </row>
    <row r="18" spans="1:21" x14ac:dyDescent="0.2">
      <c r="A18" s="25"/>
      <c r="B18" s="4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6"/>
      <c r="R18" s="176"/>
      <c r="S18" s="176"/>
      <c r="U18" s="176"/>
    </row>
    <row r="19" spans="1:21" x14ac:dyDescent="0.2">
      <c r="A19" s="25"/>
      <c r="B19" s="4"/>
      <c r="F19" s="35" t="s">
        <v>110</v>
      </c>
      <c r="L19" s="94"/>
    </row>
    <row r="20" spans="1:21" x14ac:dyDescent="0.2">
      <c r="B20" s="20"/>
      <c r="F20" s="35" t="s">
        <v>111</v>
      </c>
      <c r="L20" s="94"/>
    </row>
    <row r="21" spans="1:21" x14ac:dyDescent="0.2">
      <c r="A21" s="24" t="s">
        <v>65</v>
      </c>
      <c r="B21" s="175">
        <v>1.4999999999999999E-2</v>
      </c>
      <c r="D21" s="94" t="s">
        <v>372</v>
      </c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</row>
    <row r="24" spans="1:21" x14ac:dyDescent="0.2">
      <c r="A24" s="26" t="s">
        <v>0</v>
      </c>
      <c r="B24" s="21"/>
      <c r="C24" s="22"/>
      <c r="D24" s="2">
        <v>1665</v>
      </c>
      <c r="E24" s="2">
        <f>109043.8+361</f>
        <v>109404.8</v>
      </c>
      <c r="F24" s="2">
        <v>82581.78</v>
      </c>
      <c r="G24" s="1">
        <v>87968</v>
      </c>
      <c r="H24" s="1">
        <v>158813</v>
      </c>
      <c r="I24" s="1">
        <v>96146</v>
      </c>
      <c r="J24" s="2">
        <v>79746</v>
      </c>
      <c r="K24" s="2">
        <v>146565</v>
      </c>
      <c r="L24" s="102">
        <v>130087</v>
      </c>
      <c r="M24" s="117">
        <v>108857</v>
      </c>
      <c r="N24" s="117">
        <v>73897</v>
      </c>
      <c r="O24" s="117">
        <v>73015</v>
      </c>
      <c r="P24" s="117">
        <v>84679</v>
      </c>
      <c r="Q24" s="117">
        <v>94634</v>
      </c>
      <c r="R24" s="1">
        <v>121735</v>
      </c>
      <c r="S24" s="1">
        <v>108772</v>
      </c>
      <c r="T24" s="1">
        <v>35537</v>
      </c>
      <c r="U24" s="1">
        <v>128631</v>
      </c>
    </row>
    <row r="25" spans="1:21" x14ac:dyDescent="0.2">
      <c r="A25" s="26" t="s">
        <v>1</v>
      </c>
      <c r="B25" s="21"/>
      <c r="C25" s="22"/>
      <c r="D25" s="2">
        <v>49278</v>
      </c>
      <c r="E25" s="2">
        <v>78716.039999999994</v>
      </c>
      <c r="F25" s="2">
        <f>87749.64+7</f>
        <v>87756.64</v>
      </c>
      <c r="G25" s="1">
        <v>62737</v>
      </c>
      <c r="H25" s="1">
        <v>-34941</v>
      </c>
      <c r="I25" s="1">
        <v>56115</v>
      </c>
      <c r="J25" s="2">
        <v>89958</v>
      </c>
      <c r="K25" s="2">
        <v>82539</v>
      </c>
      <c r="L25" s="102">
        <v>78212</v>
      </c>
      <c r="M25" s="117">
        <v>83154</v>
      </c>
      <c r="N25" s="117">
        <v>59346</v>
      </c>
      <c r="O25" s="117">
        <v>58096</v>
      </c>
      <c r="P25" s="117">
        <v>53590</v>
      </c>
      <c r="Q25" s="117">
        <v>57077</v>
      </c>
      <c r="R25" s="1">
        <v>52805</v>
      </c>
      <c r="S25" s="1">
        <v>65560</v>
      </c>
      <c r="T25" s="1">
        <v>75128</v>
      </c>
      <c r="U25" s="1">
        <v>91402</v>
      </c>
    </row>
    <row r="26" spans="1:21" x14ac:dyDescent="0.2">
      <c r="A26" s="26" t="s">
        <v>2</v>
      </c>
      <c r="B26" s="21"/>
      <c r="C26" s="22"/>
      <c r="D26" s="2">
        <v>67633.38</v>
      </c>
      <c r="E26" s="2">
        <v>49452.61</v>
      </c>
      <c r="F26" s="2">
        <v>67117.59</v>
      </c>
      <c r="G26" s="1">
        <v>43724</v>
      </c>
      <c r="H26" s="1">
        <v>31824</v>
      </c>
      <c r="I26" s="1">
        <v>41964</v>
      </c>
      <c r="J26" s="2">
        <v>59990</v>
      </c>
      <c r="K26" s="2">
        <v>54494</v>
      </c>
      <c r="L26" s="102">
        <v>76320</v>
      </c>
      <c r="M26" s="117">
        <v>57228</v>
      </c>
      <c r="N26" s="117">
        <v>50203</v>
      </c>
      <c r="O26" s="117">
        <v>58205</v>
      </c>
      <c r="P26" s="117">
        <v>90752</v>
      </c>
      <c r="Q26" s="117">
        <v>59422</v>
      </c>
      <c r="R26" s="1">
        <v>54065</v>
      </c>
      <c r="S26" s="1">
        <v>91763</v>
      </c>
      <c r="T26" s="1">
        <v>88196</v>
      </c>
      <c r="U26" s="1">
        <v>78129</v>
      </c>
    </row>
    <row r="27" spans="1:21" x14ac:dyDescent="0.2">
      <c r="A27" s="26" t="s">
        <v>3</v>
      </c>
      <c r="B27" s="21"/>
      <c r="C27" s="22"/>
      <c r="D27" s="2">
        <v>67957.679999999993</v>
      </c>
      <c r="E27" s="2">
        <v>84562.09</v>
      </c>
      <c r="F27" s="2">
        <v>124957.51</v>
      </c>
      <c r="G27" s="1">
        <v>48273</v>
      </c>
      <c r="H27" s="1">
        <v>57626</v>
      </c>
      <c r="I27" s="1">
        <v>63982</v>
      </c>
      <c r="J27" s="2">
        <v>73339</v>
      </c>
      <c r="K27" s="2">
        <v>87769</v>
      </c>
      <c r="L27" s="102">
        <v>78851</v>
      </c>
      <c r="M27" s="117">
        <v>91532</v>
      </c>
      <c r="N27" s="117">
        <v>58858</v>
      </c>
      <c r="O27" s="117">
        <v>70468</v>
      </c>
      <c r="P27" s="117">
        <v>72059</v>
      </c>
      <c r="Q27" s="117">
        <v>59575</v>
      </c>
      <c r="R27" s="1">
        <v>92245</v>
      </c>
      <c r="S27" s="1">
        <v>89381</v>
      </c>
      <c r="T27" s="1">
        <v>96271</v>
      </c>
      <c r="U27" s="1">
        <v>124337</v>
      </c>
    </row>
    <row r="28" spans="1:21" x14ac:dyDescent="0.2">
      <c r="A28" s="26" t="s">
        <v>4</v>
      </c>
      <c r="B28" s="21"/>
      <c r="C28" s="22"/>
      <c r="D28" s="2">
        <f>72242.68-24</f>
        <v>72218.679999999993</v>
      </c>
      <c r="E28" s="2">
        <v>59086.12</v>
      </c>
      <c r="F28" s="2">
        <v>100407.45</v>
      </c>
      <c r="G28" s="1">
        <v>58239</v>
      </c>
      <c r="H28" s="1">
        <v>64449</v>
      </c>
      <c r="I28" s="1">
        <v>60369</v>
      </c>
      <c r="J28" s="2">
        <v>73574</v>
      </c>
      <c r="K28" s="2">
        <v>66815</v>
      </c>
      <c r="L28" s="102">
        <v>84949</v>
      </c>
      <c r="M28" s="117">
        <v>76954</v>
      </c>
      <c r="N28" s="117">
        <v>59669</v>
      </c>
      <c r="O28" s="117">
        <v>50310</v>
      </c>
      <c r="P28" s="117">
        <v>73352</v>
      </c>
      <c r="Q28" s="117">
        <v>54437</v>
      </c>
      <c r="R28" s="1">
        <v>68722</v>
      </c>
      <c r="S28" s="1">
        <v>100667</v>
      </c>
      <c r="T28" s="1">
        <v>119430</v>
      </c>
      <c r="U28" s="1">
        <v>80309</v>
      </c>
    </row>
    <row r="29" spans="1:21" x14ac:dyDescent="0.2">
      <c r="A29" s="26" t="s">
        <v>5</v>
      </c>
      <c r="B29" s="21"/>
      <c r="C29" s="22"/>
      <c r="D29" s="2">
        <v>76318.710000000006</v>
      </c>
      <c r="E29" s="2">
        <v>98071.05</v>
      </c>
      <c r="F29" s="2">
        <v>95157.36</v>
      </c>
      <c r="G29" s="1">
        <v>48296</v>
      </c>
      <c r="H29" s="1">
        <v>49131</v>
      </c>
      <c r="I29" s="1">
        <v>57943</v>
      </c>
      <c r="J29" s="2">
        <v>69729</v>
      </c>
      <c r="K29" s="2">
        <v>80631</v>
      </c>
      <c r="L29" s="102">
        <v>74826</v>
      </c>
      <c r="M29" s="117">
        <v>116543</v>
      </c>
      <c r="N29" s="117">
        <v>47576</v>
      </c>
      <c r="O29" s="117">
        <v>71577</v>
      </c>
      <c r="P29" s="117">
        <v>58220</v>
      </c>
      <c r="Q29" s="117">
        <v>56787</v>
      </c>
      <c r="R29" s="1">
        <v>66474</v>
      </c>
      <c r="S29" s="1">
        <v>70955</v>
      </c>
      <c r="T29" s="1">
        <v>91605</v>
      </c>
      <c r="U29" s="1">
        <v>118263</v>
      </c>
    </row>
    <row r="30" spans="1:21" x14ac:dyDescent="0.2">
      <c r="A30" s="26" t="s">
        <v>6</v>
      </c>
      <c r="B30" s="21"/>
      <c r="C30" s="22"/>
      <c r="D30" s="2">
        <v>61267.86</v>
      </c>
      <c r="E30" s="2">
        <f>98602.5+153</f>
        <v>98755.5</v>
      </c>
      <c r="F30" s="2">
        <v>111151.48</v>
      </c>
      <c r="G30" s="1">
        <v>69589</v>
      </c>
      <c r="H30" s="1">
        <v>52128</v>
      </c>
      <c r="I30" s="1">
        <v>78762</v>
      </c>
      <c r="J30" s="2">
        <v>81409</v>
      </c>
      <c r="K30" s="2">
        <v>100670</v>
      </c>
      <c r="L30" s="102">
        <v>63687</v>
      </c>
      <c r="M30" s="117">
        <v>79277</v>
      </c>
      <c r="N30" s="117">
        <v>65977</v>
      </c>
      <c r="O30" s="117">
        <v>62654</v>
      </c>
      <c r="P30" s="117">
        <v>96548</v>
      </c>
      <c r="Q30" s="117">
        <v>61723</v>
      </c>
      <c r="R30" s="1">
        <v>81727</v>
      </c>
      <c r="S30" s="1">
        <v>110760</v>
      </c>
      <c r="T30" s="1">
        <v>101892</v>
      </c>
      <c r="U30" s="1">
        <v>130906</v>
      </c>
    </row>
    <row r="31" spans="1:21" x14ac:dyDescent="0.2">
      <c r="A31" s="26" t="s">
        <v>7</v>
      </c>
      <c r="B31" s="21"/>
      <c r="C31" s="22"/>
      <c r="D31" s="2">
        <f>90682.01-1078</f>
        <v>89604.01</v>
      </c>
      <c r="E31" s="2">
        <v>94631.78</v>
      </c>
      <c r="F31" s="2">
        <v>104458.02</v>
      </c>
      <c r="G31" s="1">
        <v>58987</v>
      </c>
      <c r="H31" s="1">
        <v>83941</v>
      </c>
      <c r="I31" s="1">
        <v>59133</v>
      </c>
      <c r="J31" s="2">
        <v>87225</v>
      </c>
      <c r="K31" s="2">
        <v>109450</v>
      </c>
      <c r="L31" s="102">
        <v>81231</v>
      </c>
      <c r="M31" s="117">
        <v>97700</v>
      </c>
      <c r="N31" s="117">
        <v>60247</v>
      </c>
      <c r="O31" s="117">
        <v>103590</v>
      </c>
      <c r="P31" s="117">
        <v>151266</v>
      </c>
      <c r="Q31" s="117">
        <v>76004</v>
      </c>
      <c r="R31" s="1">
        <v>185050</v>
      </c>
      <c r="S31" s="1">
        <v>95190</v>
      </c>
      <c r="T31" s="1">
        <v>96354</v>
      </c>
      <c r="U31" s="1">
        <v>129727</v>
      </c>
    </row>
    <row r="32" spans="1:21" x14ac:dyDescent="0.2">
      <c r="A32" s="26" t="s">
        <v>8</v>
      </c>
      <c r="B32" s="21"/>
      <c r="C32" s="22"/>
      <c r="D32" s="2">
        <v>84969.29</v>
      </c>
      <c r="E32" s="2">
        <v>73516.95</v>
      </c>
      <c r="F32" s="2">
        <v>62521.33</v>
      </c>
      <c r="G32" s="1">
        <v>59200</v>
      </c>
      <c r="H32" s="1">
        <v>52264</v>
      </c>
      <c r="I32" s="1">
        <v>61049</v>
      </c>
      <c r="J32" s="2">
        <v>76196</v>
      </c>
      <c r="K32" s="2">
        <v>83220</v>
      </c>
      <c r="L32" s="102">
        <v>80018</v>
      </c>
      <c r="M32" s="117">
        <v>79254</v>
      </c>
      <c r="N32" s="117">
        <v>57232</v>
      </c>
      <c r="O32" s="117">
        <v>68660</v>
      </c>
      <c r="P32" s="117">
        <v>73335</v>
      </c>
      <c r="Q32" s="117">
        <v>68455</v>
      </c>
      <c r="R32" s="2">
        <v>98896</v>
      </c>
      <c r="S32" s="1">
        <v>85534</v>
      </c>
      <c r="T32" s="1">
        <v>99218</v>
      </c>
      <c r="U32" s="1">
        <v>116063</v>
      </c>
    </row>
    <row r="33" spans="1:21" x14ac:dyDescent="0.2">
      <c r="A33" s="26" t="s">
        <v>9</v>
      </c>
      <c r="B33" s="21"/>
      <c r="C33" s="22"/>
      <c r="D33" s="2">
        <f>89683.08+233</f>
        <v>89916.08</v>
      </c>
      <c r="E33" s="2">
        <v>82079.17</v>
      </c>
      <c r="F33" s="2">
        <f>89152.33+1983.57</f>
        <v>91135.900000000009</v>
      </c>
      <c r="G33" s="1">
        <v>80473</v>
      </c>
      <c r="H33" s="1">
        <v>75578</v>
      </c>
      <c r="I33" s="1">
        <v>84997</v>
      </c>
      <c r="J33" s="2">
        <v>89951</v>
      </c>
      <c r="K33" s="2">
        <v>127181</v>
      </c>
      <c r="L33" s="102">
        <v>104976</v>
      </c>
      <c r="M33" s="117">
        <v>84726</v>
      </c>
      <c r="N33" s="117">
        <v>67316</v>
      </c>
      <c r="O33" s="117">
        <v>92597</v>
      </c>
      <c r="P33" s="117">
        <v>75936</v>
      </c>
      <c r="Q33" s="117">
        <v>73147</v>
      </c>
      <c r="R33" s="1">
        <v>106078</v>
      </c>
      <c r="S33" s="1">
        <v>98679</v>
      </c>
      <c r="T33" s="1">
        <v>59242</v>
      </c>
      <c r="U33" s="1">
        <v>119902</v>
      </c>
    </row>
    <row r="34" spans="1:21" x14ac:dyDescent="0.2">
      <c r="A34" s="26" t="s">
        <v>10</v>
      </c>
      <c r="B34" s="21"/>
      <c r="C34" s="22"/>
      <c r="D34" s="2">
        <v>80804.63</v>
      </c>
      <c r="E34" s="2">
        <v>86937.67</v>
      </c>
      <c r="F34" s="2"/>
      <c r="G34" s="1">
        <v>69997</v>
      </c>
      <c r="H34" s="1">
        <v>61384</v>
      </c>
      <c r="I34" s="1">
        <v>71792</v>
      </c>
      <c r="J34" s="2">
        <v>105354</v>
      </c>
      <c r="K34" s="2">
        <v>106642</v>
      </c>
      <c r="L34" s="102">
        <v>134328</v>
      </c>
      <c r="M34" s="117">
        <v>74765</v>
      </c>
      <c r="N34" s="117">
        <v>60548</v>
      </c>
      <c r="O34" s="117">
        <v>62502</v>
      </c>
      <c r="P34" s="117">
        <v>96699</v>
      </c>
      <c r="Q34" s="117">
        <v>95985</v>
      </c>
      <c r="R34" s="1">
        <v>82157</v>
      </c>
      <c r="S34" s="1">
        <v>106202</v>
      </c>
      <c r="T34" s="1">
        <v>108544</v>
      </c>
      <c r="U34" s="1">
        <v>161135</v>
      </c>
    </row>
    <row r="35" spans="1:21" x14ac:dyDescent="0.2">
      <c r="A35" s="26" t="s">
        <v>11</v>
      </c>
      <c r="B35" s="8"/>
      <c r="C35" s="23"/>
      <c r="D35" s="37">
        <v>152984.84</v>
      </c>
      <c r="E35" s="37">
        <v>78114.240000000005</v>
      </c>
      <c r="F35" s="37">
        <v>111219</v>
      </c>
      <c r="G35" s="39">
        <v>48772</v>
      </c>
      <c r="H35" s="39">
        <v>141222</v>
      </c>
      <c r="I35" s="40">
        <v>73921</v>
      </c>
      <c r="J35" s="40">
        <v>86514</v>
      </c>
      <c r="K35" s="40">
        <v>83054</v>
      </c>
      <c r="L35" s="95">
        <v>78032</v>
      </c>
      <c r="M35" s="95">
        <v>63547</v>
      </c>
      <c r="N35" s="95">
        <v>65621</v>
      </c>
      <c r="O35" s="95">
        <v>54633</v>
      </c>
      <c r="P35" s="95">
        <v>64108</v>
      </c>
      <c r="Q35" s="95">
        <v>47226</v>
      </c>
      <c r="R35" s="1">
        <v>115096</v>
      </c>
      <c r="S35" s="1">
        <v>84722</v>
      </c>
      <c r="T35" s="1">
        <v>98613</v>
      </c>
      <c r="U35" s="1">
        <v>133144</v>
      </c>
    </row>
    <row r="36" spans="1:21" x14ac:dyDescent="0.2">
      <c r="A36" s="25"/>
      <c r="B36" s="4"/>
      <c r="C36" s="14"/>
      <c r="D36" s="41">
        <f t="shared" ref="D36:I36" si="5">SUM(D24:D35)</f>
        <v>894618.15999999992</v>
      </c>
      <c r="E36" s="41">
        <f t="shared" si="5"/>
        <v>993328.02</v>
      </c>
      <c r="F36" s="41">
        <f t="shared" si="5"/>
        <v>1038464.0599999999</v>
      </c>
      <c r="G36" s="41">
        <f t="shared" si="5"/>
        <v>736255</v>
      </c>
      <c r="H36" s="41">
        <f t="shared" si="5"/>
        <v>793419</v>
      </c>
      <c r="I36" s="41">
        <f t="shared" si="5"/>
        <v>806173</v>
      </c>
      <c r="J36" s="44">
        <f t="shared" ref="J36:O36" si="6">SUM(J24:J35)</f>
        <v>972985</v>
      </c>
      <c r="K36" s="44">
        <f t="shared" si="6"/>
        <v>1129030</v>
      </c>
      <c r="L36" s="96">
        <f t="shared" si="6"/>
        <v>1065517</v>
      </c>
      <c r="M36" s="96">
        <f t="shared" si="6"/>
        <v>1013537</v>
      </c>
      <c r="N36" s="96">
        <f t="shared" si="6"/>
        <v>726490</v>
      </c>
      <c r="O36" s="96">
        <f t="shared" si="6"/>
        <v>826307</v>
      </c>
      <c r="P36" s="96">
        <f t="shared" ref="P36:Q36" si="7">SUM(P24:P35)</f>
        <v>990544</v>
      </c>
      <c r="Q36" s="96">
        <f t="shared" si="7"/>
        <v>804472</v>
      </c>
      <c r="R36" s="126">
        <f t="shared" ref="R36:T36" si="8">SUM(R24:R35)</f>
        <v>1125050</v>
      </c>
      <c r="S36" s="126">
        <f t="shared" si="8"/>
        <v>1108185</v>
      </c>
      <c r="T36" s="126">
        <f t="shared" si="8"/>
        <v>1070030</v>
      </c>
      <c r="U36" s="126">
        <f t="shared" ref="U36" si="9">SUM(U24:U35)</f>
        <v>1411948</v>
      </c>
    </row>
    <row r="37" spans="1:21" x14ac:dyDescent="0.2">
      <c r="A37" s="25"/>
      <c r="B37" s="4"/>
      <c r="D37" s="41"/>
      <c r="E37" s="41"/>
      <c r="F37" s="41"/>
      <c r="G37" s="7"/>
      <c r="L37" s="94"/>
    </row>
    <row r="38" spans="1:21" x14ac:dyDescent="0.2">
      <c r="A38" s="25"/>
      <c r="D38" s="41">
        <f t="shared" ref="D38:N38" si="10">D17+D36</f>
        <v>11398159.140000001</v>
      </c>
      <c r="E38" s="41">
        <f t="shared" si="10"/>
        <v>12225978.779999999</v>
      </c>
      <c r="F38" s="41">
        <f t="shared" si="10"/>
        <v>12194935.959999999</v>
      </c>
      <c r="G38" s="41">
        <f t="shared" si="10"/>
        <v>11641832</v>
      </c>
      <c r="H38" s="41">
        <f t="shared" si="10"/>
        <v>12084658</v>
      </c>
      <c r="I38" s="41">
        <f t="shared" si="10"/>
        <v>12708709</v>
      </c>
      <c r="J38" s="41">
        <f t="shared" si="10"/>
        <v>13068224</v>
      </c>
      <c r="K38" s="41">
        <f t="shared" si="10"/>
        <v>13685071</v>
      </c>
      <c r="L38" s="41">
        <f t="shared" si="10"/>
        <v>14274808</v>
      </c>
      <c r="M38" s="41">
        <f t="shared" si="10"/>
        <v>14713316</v>
      </c>
      <c r="N38" s="41">
        <f t="shared" si="10"/>
        <v>14582992</v>
      </c>
      <c r="O38" s="41">
        <f t="shared" ref="O38:P38" si="11">O17+O36</f>
        <v>14506564</v>
      </c>
      <c r="P38" s="41">
        <f t="shared" si="11"/>
        <v>15139729</v>
      </c>
      <c r="Q38" s="41">
        <f t="shared" ref="Q38:R38" si="12">Q17+Q36</f>
        <v>16717760</v>
      </c>
      <c r="R38" s="41">
        <f t="shared" si="12"/>
        <v>22035055</v>
      </c>
      <c r="S38" s="41">
        <f t="shared" ref="S38:T38" si="13">S17+S36</f>
        <v>26027841</v>
      </c>
      <c r="T38" s="41">
        <f t="shared" si="13"/>
        <v>29001647</v>
      </c>
      <c r="U38" s="41">
        <f t="shared" ref="U38" si="14">U17+U36</f>
        <v>30417818</v>
      </c>
    </row>
    <row r="39" spans="1:21" x14ac:dyDescent="0.2">
      <c r="A39" s="25"/>
      <c r="G39" s="7"/>
    </row>
    <row r="41" spans="1:21" x14ac:dyDescent="0.2">
      <c r="A41" s="29" t="s">
        <v>257</v>
      </c>
      <c r="E41" s="42"/>
      <c r="F41" s="42"/>
    </row>
    <row r="42" spans="1:21" x14ac:dyDescent="0.2">
      <c r="A42" s="25"/>
      <c r="B42" s="16">
        <v>2004</v>
      </c>
      <c r="C42" s="16">
        <v>2005</v>
      </c>
      <c r="D42" s="16">
        <v>2006</v>
      </c>
      <c r="E42" s="16">
        <v>2007</v>
      </c>
      <c r="F42" s="16">
        <v>2008</v>
      </c>
      <c r="G42" s="16">
        <v>2009</v>
      </c>
      <c r="H42" s="16">
        <v>2010</v>
      </c>
      <c r="I42" s="16">
        <v>2011</v>
      </c>
      <c r="J42" s="18">
        <v>2012</v>
      </c>
      <c r="K42" s="16">
        <v>2013</v>
      </c>
      <c r="L42" s="18">
        <v>2014</v>
      </c>
      <c r="M42" s="18">
        <v>2015</v>
      </c>
      <c r="N42" s="18">
        <v>2016</v>
      </c>
      <c r="O42" s="86">
        <v>2017</v>
      </c>
      <c r="P42" s="86">
        <v>2018</v>
      </c>
      <c r="Q42" s="86">
        <v>2019</v>
      </c>
      <c r="R42" s="86">
        <v>2020</v>
      </c>
      <c r="S42" s="86">
        <v>2021</v>
      </c>
      <c r="T42" s="86">
        <v>2022</v>
      </c>
      <c r="U42" s="86">
        <v>2023</v>
      </c>
    </row>
    <row r="43" spans="1:21" x14ac:dyDescent="0.2">
      <c r="A43" s="26"/>
      <c r="B43" s="151"/>
      <c r="C43" s="151"/>
      <c r="D43" s="151"/>
      <c r="E43" s="151"/>
      <c r="F43" s="159"/>
      <c r="G43" s="159"/>
      <c r="H43" s="104"/>
      <c r="I43" s="104"/>
      <c r="J43" s="151"/>
      <c r="K43" s="104"/>
      <c r="L43" s="105"/>
      <c r="M43" s="151"/>
      <c r="N43" s="151"/>
    </row>
    <row r="44" spans="1:21" x14ac:dyDescent="0.2">
      <c r="A44" s="26" t="s">
        <v>0</v>
      </c>
      <c r="B44" s="151"/>
      <c r="C44" s="151"/>
      <c r="D44" s="151"/>
      <c r="E44" s="151"/>
      <c r="F44" s="1"/>
      <c r="G44" s="1">
        <v>-2267</v>
      </c>
      <c r="H44" s="1">
        <v>-101</v>
      </c>
      <c r="I44" s="1">
        <v>-201</v>
      </c>
      <c r="J44" s="1">
        <v>-1286</v>
      </c>
      <c r="K44" s="1">
        <v>-56385</v>
      </c>
      <c r="L44" s="1">
        <v>-2584</v>
      </c>
      <c r="M44" s="1">
        <v>-21228</v>
      </c>
      <c r="N44" s="1">
        <v>-16346</v>
      </c>
      <c r="O44" s="117">
        <v>-3922</v>
      </c>
      <c r="P44" s="117">
        <v>-1037</v>
      </c>
      <c r="Q44" s="117">
        <v>0</v>
      </c>
      <c r="R44" s="1">
        <v>-24914</v>
      </c>
      <c r="S44" s="117">
        <v>0</v>
      </c>
      <c r="T44" s="1">
        <v>-3603</v>
      </c>
      <c r="U44" s="117">
        <v>0</v>
      </c>
    </row>
    <row r="45" spans="1:21" x14ac:dyDescent="0.2">
      <c r="A45" s="26" t="s">
        <v>1</v>
      </c>
      <c r="B45" s="151"/>
      <c r="C45" s="151"/>
      <c r="D45" s="151"/>
      <c r="E45" s="151"/>
      <c r="F45" s="1"/>
      <c r="G45" s="1">
        <v>-369</v>
      </c>
      <c r="H45" s="1">
        <v>-75069</v>
      </c>
      <c r="I45" s="1">
        <v>-77542</v>
      </c>
      <c r="J45" s="1">
        <v>-22342</v>
      </c>
      <c r="K45" s="1">
        <v>-5725</v>
      </c>
      <c r="L45" s="1">
        <v>-75884</v>
      </c>
      <c r="M45" s="1">
        <v>-55610</v>
      </c>
      <c r="N45" s="1">
        <v>-322358</v>
      </c>
      <c r="O45" s="117">
        <v>-1325</v>
      </c>
      <c r="P45" s="117">
        <v>-9263</v>
      </c>
      <c r="Q45" s="117">
        <v>-14139</v>
      </c>
      <c r="R45" s="113">
        <v>-766</v>
      </c>
      <c r="S45" s="1">
        <v>-1183</v>
      </c>
      <c r="T45" s="1">
        <v>-3315</v>
      </c>
      <c r="U45" s="1">
        <v>-1554</v>
      </c>
    </row>
    <row r="46" spans="1:21" x14ac:dyDescent="0.2">
      <c r="A46" s="26" t="s">
        <v>2</v>
      </c>
      <c r="B46" s="151"/>
      <c r="C46" s="151"/>
      <c r="D46" s="151"/>
      <c r="E46" s="151"/>
      <c r="F46" s="1"/>
      <c r="G46" s="1">
        <v>-105022</v>
      </c>
      <c r="H46" s="1">
        <v>-9173</v>
      </c>
      <c r="I46" s="1">
        <v>-42456</v>
      </c>
      <c r="J46" s="1">
        <v>-25721</v>
      </c>
      <c r="K46" s="1">
        <v>-230</v>
      </c>
      <c r="L46" s="1">
        <v>-8806</v>
      </c>
      <c r="M46" s="1">
        <v>-2578</v>
      </c>
      <c r="N46" s="1">
        <v>-2366</v>
      </c>
      <c r="O46" s="117">
        <v>-467</v>
      </c>
      <c r="P46" s="117">
        <v>-98197</v>
      </c>
      <c r="Q46" s="117">
        <v>-7064</v>
      </c>
      <c r="R46" s="1">
        <v>-7796</v>
      </c>
      <c r="S46" s="117">
        <v>-908</v>
      </c>
      <c r="T46" s="1">
        <v>-2529</v>
      </c>
      <c r="U46" s="1">
        <v>-1138</v>
      </c>
    </row>
    <row r="47" spans="1:21" x14ac:dyDescent="0.2">
      <c r="A47" s="26" t="s">
        <v>3</v>
      </c>
      <c r="B47" s="151"/>
      <c r="C47" s="151"/>
      <c r="D47" s="151"/>
      <c r="E47" s="151"/>
      <c r="F47" s="1"/>
      <c r="G47" s="1">
        <v>-1151</v>
      </c>
      <c r="H47" s="1">
        <v>-3060</v>
      </c>
      <c r="I47" s="1">
        <v>-504</v>
      </c>
      <c r="J47" s="1">
        <v>-3175</v>
      </c>
      <c r="K47" s="1">
        <v>-18</v>
      </c>
      <c r="L47" s="1">
        <v>-46647</v>
      </c>
      <c r="M47" s="1">
        <v>-41470</v>
      </c>
      <c r="N47" s="1">
        <v>-5032</v>
      </c>
      <c r="O47" s="117">
        <v>-255</v>
      </c>
      <c r="P47" s="117">
        <v>-650</v>
      </c>
      <c r="Q47" s="117">
        <v>-6275</v>
      </c>
      <c r="R47" s="1">
        <v>-16212</v>
      </c>
      <c r="S47" s="1">
        <v>-2934</v>
      </c>
      <c r="T47" s="1">
        <v>0</v>
      </c>
      <c r="U47" s="1">
        <v>-2451</v>
      </c>
    </row>
    <row r="48" spans="1:21" x14ac:dyDescent="0.2">
      <c r="A48" s="26" t="s">
        <v>4</v>
      </c>
      <c r="B48" s="151"/>
      <c r="C48" s="151"/>
      <c r="D48" s="151"/>
      <c r="E48" s="151"/>
      <c r="F48" s="1"/>
      <c r="G48" s="1">
        <v>-11114</v>
      </c>
      <c r="H48" s="1">
        <v>-3131</v>
      </c>
      <c r="I48" s="1">
        <v>0</v>
      </c>
      <c r="J48" s="1">
        <v>-634</v>
      </c>
      <c r="K48" s="1">
        <v>-7317</v>
      </c>
      <c r="L48" s="1">
        <v>-4529</v>
      </c>
      <c r="M48" s="1">
        <v>-378</v>
      </c>
      <c r="N48" s="1">
        <v>-74607</v>
      </c>
      <c r="O48" s="117">
        <v>-1116</v>
      </c>
      <c r="P48" s="117">
        <v>0</v>
      </c>
      <c r="Q48" s="117">
        <v>-8770</v>
      </c>
      <c r="R48" s="1">
        <v>-4636</v>
      </c>
      <c r="S48" s="1">
        <v>-16159</v>
      </c>
      <c r="T48" s="1">
        <v>-1167</v>
      </c>
      <c r="U48" s="1">
        <v>0</v>
      </c>
    </row>
    <row r="49" spans="1:21" x14ac:dyDescent="0.2">
      <c r="A49" s="26" t="s">
        <v>5</v>
      </c>
      <c r="B49" s="151"/>
      <c r="C49" s="151"/>
      <c r="D49" s="151"/>
      <c r="E49" s="151"/>
      <c r="F49" s="1"/>
      <c r="G49" s="1">
        <v>-5333</v>
      </c>
      <c r="H49" s="1">
        <v>-2999</v>
      </c>
      <c r="I49" s="1">
        <v>-2721</v>
      </c>
      <c r="J49" s="1">
        <v>-1078</v>
      </c>
      <c r="K49" s="1">
        <v>-5090</v>
      </c>
      <c r="L49" s="1">
        <v>-11490</v>
      </c>
      <c r="M49" s="1">
        <v>-205889</v>
      </c>
      <c r="N49" s="1">
        <v>-6348</v>
      </c>
      <c r="O49" s="117">
        <v>-3426</v>
      </c>
      <c r="P49" s="117">
        <v>-8217</v>
      </c>
      <c r="Q49" s="117">
        <v>-9076</v>
      </c>
      <c r="R49" s="1">
        <v>-6735</v>
      </c>
      <c r="S49" s="117">
        <v>-71</v>
      </c>
      <c r="T49" s="1">
        <v>-1293</v>
      </c>
      <c r="U49" s="1">
        <v>-35783</v>
      </c>
    </row>
    <row r="50" spans="1:21" x14ac:dyDescent="0.2">
      <c r="A50" s="26" t="s">
        <v>6</v>
      </c>
      <c r="B50" s="151"/>
      <c r="C50" s="151"/>
      <c r="D50" s="151"/>
      <c r="E50" s="151"/>
      <c r="F50" s="1"/>
      <c r="G50" s="1">
        <v>-10571</v>
      </c>
      <c r="H50" s="1">
        <v>-343</v>
      </c>
      <c r="I50" s="1">
        <v>-25431</v>
      </c>
      <c r="J50" s="1">
        <v>-3810</v>
      </c>
      <c r="K50" s="1">
        <v>-704</v>
      </c>
      <c r="L50" s="1">
        <v>-1344</v>
      </c>
      <c r="M50" s="1">
        <v>-916</v>
      </c>
      <c r="N50" s="1">
        <v>-39308</v>
      </c>
      <c r="O50" s="117">
        <v>-1423</v>
      </c>
      <c r="P50" s="117">
        <v>-48998</v>
      </c>
      <c r="Q50" s="117">
        <v>-7334</v>
      </c>
      <c r="R50" s="1">
        <v>-20843</v>
      </c>
      <c r="S50" s="117">
        <v>-193</v>
      </c>
      <c r="T50" s="1">
        <v>-16285</v>
      </c>
      <c r="U50" s="1">
        <v>-2186</v>
      </c>
    </row>
    <row r="51" spans="1:21" x14ac:dyDescent="0.2">
      <c r="A51" s="26" t="s">
        <v>7</v>
      </c>
      <c r="B51" s="151"/>
      <c r="C51" s="151"/>
      <c r="D51" s="151"/>
      <c r="E51" s="151"/>
      <c r="F51" s="1"/>
      <c r="G51" s="1">
        <v>-16232</v>
      </c>
      <c r="H51" s="1">
        <v>0</v>
      </c>
      <c r="I51" s="1">
        <v>-2919</v>
      </c>
      <c r="J51" s="1">
        <v>-34731</v>
      </c>
      <c r="K51" s="1">
        <v>-47200</v>
      </c>
      <c r="L51" s="1">
        <v>-32303</v>
      </c>
      <c r="M51" s="1">
        <v>-4798</v>
      </c>
      <c r="N51" s="1">
        <v>-721</v>
      </c>
      <c r="O51" s="117">
        <v>-23715</v>
      </c>
      <c r="P51" s="117">
        <v>-42578</v>
      </c>
      <c r="Q51" s="117">
        <v>-502</v>
      </c>
      <c r="R51" s="1">
        <v>-27007</v>
      </c>
      <c r="S51" s="117">
        <v>0</v>
      </c>
      <c r="T51" s="1">
        <v>-15313</v>
      </c>
      <c r="U51" s="117">
        <v>0</v>
      </c>
    </row>
    <row r="52" spans="1:21" x14ac:dyDescent="0.2">
      <c r="A52" s="26" t="s">
        <v>8</v>
      </c>
      <c r="B52" s="151"/>
      <c r="C52" s="151"/>
      <c r="D52" s="151"/>
      <c r="E52" s="151"/>
      <c r="F52" s="1"/>
      <c r="G52" s="1">
        <v>-536</v>
      </c>
      <c r="H52" s="1">
        <v>0</v>
      </c>
      <c r="I52" s="1">
        <v>-1148</v>
      </c>
      <c r="J52" s="1">
        <v>-1827</v>
      </c>
      <c r="K52" s="1">
        <v>-123006</v>
      </c>
      <c r="L52" s="1">
        <v>-73727</v>
      </c>
      <c r="M52" s="1">
        <v>-599</v>
      </c>
      <c r="N52" s="1">
        <v>-28</v>
      </c>
      <c r="O52" s="117">
        <v>-399</v>
      </c>
      <c r="P52" s="117">
        <v>-1710</v>
      </c>
      <c r="Q52" s="117">
        <v>-22908</v>
      </c>
      <c r="R52" s="117">
        <v>0</v>
      </c>
      <c r="S52" s="117">
        <v>0</v>
      </c>
      <c r="T52" s="1">
        <v>-7593</v>
      </c>
      <c r="U52" s="117">
        <v>-531</v>
      </c>
    </row>
    <row r="53" spans="1:21" x14ac:dyDescent="0.2">
      <c r="A53" s="26" t="s">
        <v>9</v>
      </c>
      <c r="B53" s="151"/>
      <c r="C53" s="151"/>
      <c r="D53" s="151"/>
      <c r="E53" s="151"/>
      <c r="F53" s="1"/>
      <c r="G53" s="1">
        <v>-125213</v>
      </c>
      <c r="H53" s="1">
        <v>0</v>
      </c>
      <c r="I53" s="1">
        <v>-332</v>
      </c>
      <c r="J53" s="1">
        <v>-3761</v>
      </c>
      <c r="K53" s="1">
        <v>-16637</v>
      </c>
      <c r="L53" s="1">
        <v>-43562</v>
      </c>
      <c r="M53" s="1">
        <v>-15</v>
      </c>
      <c r="N53" s="1">
        <v>-11092</v>
      </c>
      <c r="O53" s="117">
        <v>-949</v>
      </c>
      <c r="P53" s="117">
        <v>-337</v>
      </c>
      <c r="Q53" s="117">
        <v>-11</v>
      </c>
      <c r="R53" s="117">
        <v>-1</v>
      </c>
      <c r="S53" s="1">
        <v>-1040</v>
      </c>
      <c r="T53" s="1">
        <v>-474</v>
      </c>
      <c r="U53" s="1">
        <v>-368</v>
      </c>
    </row>
    <row r="54" spans="1:21" x14ac:dyDescent="0.2">
      <c r="A54" s="26" t="s">
        <v>10</v>
      </c>
      <c r="B54" s="160"/>
      <c r="C54" s="160"/>
      <c r="D54" s="160"/>
      <c r="E54" s="160"/>
      <c r="F54" s="1"/>
      <c r="G54" s="1">
        <v>-19991</v>
      </c>
      <c r="H54" s="1">
        <v>-126313</v>
      </c>
      <c r="I54" s="1">
        <v>-55644</v>
      </c>
      <c r="J54" s="1">
        <v>-71796</v>
      </c>
      <c r="K54" s="1">
        <v>-2445</v>
      </c>
      <c r="L54" s="1">
        <v>-2284</v>
      </c>
      <c r="M54" s="1">
        <v>-35814</v>
      </c>
      <c r="N54" s="1">
        <v>0</v>
      </c>
      <c r="O54" s="117">
        <v>0</v>
      </c>
      <c r="P54" s="117">
        <v>-10751</v>
      </c>
      <c r="Q54" s="117">
        <v>-7</v>
      </c>
      <c r="R54" s="1">
        <v>-519</v>
      </c>
      <c r="S54" s="1">
        <v>-106638</v>
      </c>
      <c r="T54" s="1">
        <v>-2238</v>
      </c>
      <c r="U54" s="1">
        <v>-578</v>
      </c>
    </row>
    <row r="55" spans="1:21" x14ac:dyDescent="0.2">
      <c r="A55" s="26" t="s">
        <v>11</v>
      </c>
      <c r="B55" s="162"/>
      <c r="C55" s="162"/>
      <c r="D55" s="162"/>
      <c r="E55" s="162"/>
      <c r="F55" s="39">
        <v>-2849</v>
      </c>
      <c r="G55" s="39">
        <v>-7937</v>
      </c>
      <c r="H55" s="39">
        <v>-53222</v>
      </c>
      <c r="I55" s="39">
        <v>-57130</v>
      </c>
      <c r="J55" s="39">
        <v>-9813</v>
      </c>
      <c r="K55" s="39">
        <v>-46078</v>
      </c>
      <c r="L55" s="39">
        <v>-39913</v>
      </c>
      <c r="M55" s="39">
        <v>-6651</v>
      </c>
      <c r="N55" s="39">
        <v>-47</v>
      </c>
      <c r="O55" s="95">
        <v>-392</v>
      </c>
      <c r="P55" s="95">
        <v>-5</v>
      </c>
      <c r="Q55" s="95">
        <v>-10248</v>
      </c>
      <c r="R55" s="1">
        <v>0</v>
      </c>
      <c r="S55" s="1">
        <v>-65675</v>
      </c>
      <c r="T55" s="1">
        <v>-21883</v>
      </c>
      <c r="U55" s="1">
        <v>-6973</v>
      </c>
    </row>
    <row r="56" spans="1:21" x14ac:dyDescent="0.2">
      <c r="A56" s="25"/>
      <c r="B56" s="126"/>
      <c r="C56" s="126"/>
      <c r="D56" s="126"/>
      <c r="E56" s="126"/>
      <c r="F56" s="126">
        <f t="shared" ref="F56:N56" si="15">SUM(F44:F55)</f>
        <v>-2849</v>
      </c>
      <c r="G56" s="126">
        <f t="shared" si="15"/>
        <v>-305736</v>
      </c>
      <c r="H56" s="126">
        <f t="shared" si="15"/>
        <v>-273411</v>
      </c>
      <c r="I56" s="126">
        <f t="shared" si="15"/>
        <v>-266028</v>
      </c>
      <c r="J56" s="126">
        <f t="shared" si="15"/>
        <v>-179974</v>
      </c>
      <c r="K56" s="126">
        <f t="shared" si="15"/>
        <v>-310835</v>
      </c>
      <c r="L56" s="126">
        <f t="shared" si="15"/>
        <v>-343073</v>
      </c>
      <c r="M56" s="126">
        <f t="shared" si="15"/>
        <v>-375946</v>
      </c>
      <c r="N56" s="126">
        <f t="shared" si="15"/>
        <v>-478253</v>
      </c>
      <c r="O56" s="96">
        <f>SUM(O44:O55)</f>
        <v>-37389</v>
      </c>
      <c r="P56" s="96">
        <f>SUM(P44:P55)</f>
        <v>-221743</v>
      </c>
      <c r="Q56" s="96">
        <f>SUM(Q44:Q55)</f>
        <v>-86334</v>
      </c>
      <c r="R56" s="126">
        <f t="shared" ref="R56" si="16">SUM(R44:R55)</f>
        <v>-109429</v>
      </c>
      <c r="S56" s="126">
        <f>SUM(S44:S55)</f>
        <v>-194801</v>
      </c>
      <c r="T56" s="126">
        <f t="shared" ref="T56" si="17">SUM(T44:T55)</f>
        <v>-75693</v>
      </c>
      <c r="U56" s="126">
        <f>SUM(U44:U55)</f>
        <v>-51562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2:U54"/>
  <sheetViews>
    <sheetView workbookViewId="0">
      <pane xSplit="1" topLeftCell="R1" activePane="topRight" state="frozen"/>
      <selection activeCell="A4" sqref="A4"/>
      <selection pane="topRight" activeCell="V5" sqref="V5"/>
    </sheetView>
  </sheetViews>
  <sheetFormatPr defaultRowHeight="12.75" x14ac:dyDescent="0.2"/>
  <cols>
    <col min="1" max="1" width="14.42578125" bestFit="1" customWidth="1"/>
    <col min="2" max="2" width="5.28515625" bestFit="1" customWidth="1"/>
    <col min="3" max="3" width="5" bestFit="1" customWidth="1"/>
    <col min="4" max="4" width="8.5703125" bestFit="1" customWidth="1"/>
    <col min="5" max="5" width="10.140625" bestFit="1" customWidth="1"/>
    <col min="6" max="6" width="10.28515625" customWidth="1"/>
    <col min="7" max="11" width="10.140625" bestFit="1" customWidth="1"/>
    <col min="12" max="21" width="10.7109375" bestFit="1" customWidth="1"/>
  </cols>
  <sheetData>
    <row r="2" spans="1:21" x14ac:dyDescent="0.2">
      <c r="A2" s="24" t="s">
        <v>58</v>
      </c>
      <c r="B2" s="148">
        <v>5.0000000000000001E-3</v>
      </c>
      <c r="D2" s="94" t="s">
        <v>195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8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2"/>
      <c r="C5" s="12"/>
      <c r="D5" s="44"/>
      <c r="E5" s="44">
        <f>109211+83</f>
        <v>109294</v>
      </c>
      <c r="F5" s="44">
        <v>122464.81</v>
      </c>
      <c r="G5" s="1">
        <v>116687</v>
      </c>
      <c r="H5" s="2">
        <v>111436</v>
      </c>
      <c r="I5" s="2">
        <v>119333</v>
      </c>
      <c r="J5" s="2">
        <v>119752</v>
      </c>
      <c r="K5" s="2">
        <v>123958</v>
      </c>
      <c r="L5" s="102">
        <v>119374</v>
      </c>
      <c r="M5" s="117">
        <v>124069</v>
      </c>
      <c r="N5" s="117">
        <v>129085</v>
      </c>
      <c r="O5" s="117">
        <v>129546</v>
      </c>
      <c r="P5" s="117">
        <v>134557</v>
      </c>
      <c r="Q5" s="117">
        <v>137541</v>
      </c>
      <c r="R5" s="1">
        <v>128737</v>
      </c>
      <c r="S5" s="1">
        <v>140234</v>
      </c>
      <c r="T5" s="1">
        <v>162373</v>
      </c>
      <c r="U5" s="1">
        <v>167911</v>
      </c>
    </row>
    <row r="6" spans="1:21" x14ac:dyDescent="0.2">
      <c r="A6" s="26" t="s">
        <v>1</v>
      </c>
      <c r="B6" s="12"/>
      <c r="C6" s="12"/>
      <c r="D6" s="44"/>
      <c r="E6" s="44">
        <v>82364.11</v>
      </c>
      <c r="F6" s="44">
        <v>84692.19</v>
      </c>
      <c r="G6" s="1">
        <v>94176</v>
      </c>
      <c r="H6" s="2">
        <v>85199</v>
      </c>
      <c r="I6" s="2">
        <v>90391</v>
      </c>
      <c r="J6" s="2">
        <v>97970</v>
      </c>
      <c r="K6" s="2">
        <v>89684</v>
      </c>
      <c r="L6" s="102">
        <v>100708</v>
      </c>
      <c r="M6" s="117">
        <v>105133</v>
      </c>
      <c r="N6" s="117">
        <v>102189</v>
      </c>
      <c r="O6" s="117">
        <v>104153</v>
      </c>
      <c r="P6" s="117">
        <v>107084</v>
      </c>
      <c r="Q6" s="117">
        <v>105974</v>
      </c>
      <c r="R6" s="1">
        <v>107556</v>
      </c>
      <c r="S6" s="1">
        <v>120829</v>
      </c>
      <c r="T6" s="1">
        <v>137954</v>
      </c>
      <c r="U6" s="1">
        <v>144609</v>
      </c>
    </row>
    <row r="7" spans="1:21" x14ac:dyDescent="0.2">
      <c r="A7" s="26" t="s">
        <v>2</v>
      </c>
      <c r="B7" s="12"/>
      <c r="C7" s="12"/>
      <c r="D7" s="44"/>
      <c r="E7" s="44">
        <v>75678.84</v>
      </c>
      <c r="F7" s="44">
        <f>80835.41+53</f>
        <v>80888.41</v>
      </c>
      <c r="G7" s="1">
        <v>87233</v>
      </c>
      <c r="H7" s="2">
        <v>87419</v>
      </c>
      <c r="I7" s="2">
        <v>88695</v>
      </c>
      <c r="J7" s="2">
        <v>95332</v>
      </c>
      <c r="K7" s="2">
        <v>90587</v>
      </c>
      <c r="L7" s="106">
        <v>88841</v>
      </c>
      <c r="M7" s="117">
        <v>105689</v>
      </c>
      <c r="N7" s="117">
        <v>98100</v>
      </c>
      <c r="O7" s="117">
        <v>95994</v>
      </c>
      <c r="P7" s="117">
        <v>93914</v>
      </c>
      <c r="Q7" s="117">
        <v>98441</v>
      </c>
      <c r="R7" s="1">
        <v>111239</v>
      </c>
      <c r="S7" s="1">
        <v>107515</v>
      </c>
      <c r="T7" s="1">
        <v>134169</v>
      </c>
      <c r="U7" s="1">
        <v>138751</v>
      </c>
    </row>
    <row r="8" spans="1:21" x14ac:dyDescent="0.2">
      <c r="A8" s="26" t="s">
        <v>3</v>
      </c>
      <c r="B8" s="12"/>
      <c r="C8" s="12"/>
      <c r="D8" s="44">
        <v>35</v>
      </c>
      <c r="E8" s="44">
        <v>95239.33</v>
      </c>
      <c r="F8" s="44">
        <v>93499.59</v>
      </c>
      <c r="G8" s="1">
        <v>93490</v>
      </c>
      <c r="H8" s="2">
        <v>102574</v>
      </c>
      <c r="I8" s="2">
        <v>103632</v>
      </c>
      <c r="J8" s="2">
        <v>104735</v>
      </c>
      <c r="K8" s="2">
        <v>100498</v>
      </c>
      <c r="L8" s="106">
        <v>107344</v>
      </c>
      <c r="M8" s="117">
        <v>121554</v>
      </c>
      <c r="N8" s="117">
        <v>113981</v>
      </c>
      <c r="O8" s="117">
        <v>115655</v>
      </c>
      <c r="P8" s="117">
        <v>114790</v>
      </c>
      <c r="Q8" s="117">
        <v>122702</v>
      </c>
      <c r="R8" s="1">
        <v>116778</v>
      </c>
      <c r="S8" s="1">
        <v>142660</v>
      </c>
      <c r="T8" s="1">
        <v>163653</v>
      </c>
      <c r="U8" s="1">
        <v>159918</v>
      </c>
    </row>
    <row r="9" spans="1:21" x14ac:dyDescent="0.2">
      <c r="A9" s="26" t="s">
        <v>4</v>
      </c>
      <c r="B9" s="12"/>
      <c r="C9" s="12"/>
      <c r="D9" s="44">
        <v>62302</v>
      </c>
      <c r="E9" s="44">
        <v>87272.05</v>
      </c>
      <c r="F9" s="44">
        <v>93516.71</v>
      </c>
      <c r="G9" s="1">
        <v>94775</v>
      </c>
      <c r="H9" s="2">
        <v>95213</v>
      </c>
      <c r="I9" s="2">
        <v>103968</v>
      </c>
      <c r="J9" s="2">
        <v>97401</v>
      </c>
      <c r="K9" s="2">
        <v>107455</v>
      </c>
      <c r="L9" s="106">
        <v>104672</v>
      </c>
      <c r="M9" s="117">
        <v>113592</v>
      </c>
      <c r="N9" s="117">
        <v>111660</v>
      </c>
      <c r="O9" s="117">
        <v>112928</v>
      </c>
      <c r="P9" s="117">
        <v>105897</v>
      </c>
      <c r="Q9" s="117">
        <v>125534</v>
      </c>
      <c r="R9" s="1">
        <v>118583</v>
      </c>
      <c r="S9" s="1">
        <v>148133</v>
      </c>
      <c r="T9" s="1">
        <v>146786</v>
      </c>
      <c r="U9" s="1">
        <v>158452</v>
      </c>
    </row>
    <row r="10" spans="1:21" x14ac:dyDescent="0.2">
      <c r="A10" s="26" t="s">
        <v>5</v>
      </c>
      <c r="B10" s="12"/>
      <c r="C10" s="12"/>
      <c r="D10" s="44">
        <v>70776</v>
      </c>
      <c r="E10" s="44">
        <v>99889.52</v>
      </c>
      <c r="F10" s="44">
        <v>108420.2</v>
      </c>
      <c r="G10" s="1">
        <v>106400</v>
      </c>
      <c r="H10" s="2">
        <v>116349</v>
      </c>
      <c r="I10" s="2">
        <v>115476</v>
      </c>
      <c r="J10" s="2">
        <v>109792</v>
      </c>
      <c r="K10" s="2">
        <v>116295</v>
      </c>
      <c r="L10" s="106">
        <v>118807</v>
      </c>
      <c r="M10" s="117">
        <v>130615</v>
      </c>
      <c r="N10" s="117">
        <v>125175</v>
      </c>
      <c r="O10" s="117">
        <v>125382</v>
      </c>
      <c r="P10" s="117">
        <v>129633</v>
      </c>
      <c r="Q10" s="117">
        <v>142041</v>
      </c>
      <c r="R10" s="1">
        <v>142330</v>
      </c>
      <c r="S10" s="1">
        <v>151098</v>
      </c>
      <c r="T10" s="1">
        <v>176336</v>
      </c>
      <c r="U10" s="1">
        <v>176030</v>
      </c>
    </row>
    <row r="11" spans="1:21" x14ac:dyDescent="0.2">
      <c r="A11" s="26" t="s">
        <v>6</v>
      </c>
      <c r="B11" s="12"/>
      <c r="C11" s="12"/>
      <c r="D11" s="44">
        <v>73257</v>
      </c>
      <c r="E11" s="44">
        <f>94695.65-83</f>
        <v>94612.65</v>
      </c>
      <c r="F11" s="44">
        <v>102785.95</v>
      </c>
      <c r="G11" s="1">
        <v>101111</v>
      </c>
      <c r="H11" s="2">
        <v>118739</v>
      </c>
      <c r="I11" s="2">
        <v>110545</v>
      </c>
      <c r="J11" s="2">
        <v>107744</v>
      </c>
      <c r="K11" s="2">
        <v>117208</v>
      </c>
      <c r="L11" s="106">
        <v>116530</v>
      </c>
      <c r="M11" s="117">
        <v>119946</v>
      </c>
      <c r="N11" s="117">
        <v>119645</v>
      </c>
      <c r="O11" s="117">
        <v>119499</v>
      </c>
      <c r="P11" s="117">
        <v>120403</v>
      </c>
      <c r="Q11" s="117">
        <v>132645</v>
      </c>
      <c r="R11" s="1">
        <v>137875</v>
      </c>
      <c r="S11" s="1">
        <v>161107</v>
      </c>
      <c r="T11" s="1">
        <v>169382</v>
      </c>
      <c r="U11" s="1">
        <v>177472</v>
      </c>
    </row>
    <row r="12" spans="1:21" x14ac:dyDescent="0.2">
      <c r="A12" s="26" t="s">
        <v>7</v>
      </c>
      <c r="B12" s="12"/>
      <c r="C12" s="12"/>
      <c r="D12" s="44">
        <v>89590</v>
      </c>
      <c r="E12" s="44">
        <v>105786.65</v>
      </c>
      <c r="F12" s="44">
        <v>113287.37</v>
      </c>
      <c r="G12" s="1">
        <v>122518</v>
      </c>
      <c r="H12" s="2">
        <v>145809</v>
      </c>
      <c r="I12" s="2">
        <v>123318</v>
      </c>
      <c r="J12" s="2">
        <v>122704</v>
      </c>
      <c r="K12" s="2">
        <v>127558</v>
      </c>
      <c r="L12" s="106">
        <v>130113</v>
      </c>
      <c r="M12" s="117">
        <v>137809</v>
      </c>
      <c r="N12" s="117">
        <v>132996</v>
      </c>
      <c r="O12" s="117">
        <v>131831</v>
      </c>
      <c r="P12" s="117">
        <v>137453</v>
      </c>
      <c r="Q12" s="117">
        <v>148180</v>
      </c>
      <c r="R12" s="1">
        <v>147802</v>
      </c>
      <c r="S12" s="1">
        <v>156966</v>
      </c>
      <c r="T12" s="1">
        <v>168519</v>
      </c>
      <c r="U12" s="1">
        <v>171920</v>
      </c>
    </row>
    <row r="13" spans="1:21" x14ac:dyDescent="0.2">
      <c r="A13" s="26" t="s">
        <v>8</v>
      </c>
      <c r="B13" s="12"/>
      <c r="C13" s="12"/>
      <c r="D13" s="44">
        <f>82714+4896</f>
        <v>87610</v>
      </c>
      <c r="E13" s="44">
        <v>99001.39</v>
      </c>
      <c r="F13" s="44">
        <f>102355.85+24573</f>
        <v>126928.85</v>
      </c>
      <c r="G13" s="1">
        <v>98858</v>
      </c>
      <c r="H13" s="2">
        <v>114997</v>
      </c>
      <c r="I13" s="2">
        <v>121799</v>
      </c>
      <c r="J13" s="2">
        <v>110687</v>
      </c>
      <c r="K13" s="2">
        <v>111068</v>
      </c>
      <c r="L13" s="106">
        <v>116463</v>
      </c>
      <c r="M13" s="117">
        <v>120810</v>
      </c>
      <c r="N13" s="117">
        <v>123484</v>
      </c>
      <c r="O13" s="117">
        <v>123526</v>
      </c>
      <c r="P13" s="117">
        <v>130409</v>
      </c>
      <c r="Q13" s="117">
        <v>140018</v>
      </c>
      <c r="R13" s="2">
        <v>135375</v>
      </c>
      <c r="S13" s="1">
        <v>141851</v>
      </c>
      <c r="T13" s="1">
        <v>183995</v>
      </c>
      <c r="U13" s="1">
        <v>177511</v>
      </c>
    </row>
    <row r="14" spans="1:21" x14ac:dyDescent="0.2">
      <c r="A14" s="26" t="s">
        <v>9</v>
      </c>
      <c r="B14" s="12"/>
      <c r="C14" s="12"/>
      <c r="D14" s="44">
        <v>93752</v>
      </c>
      <c r="E14" s="44">
        <v>96225.9</v>
      </c>
      <c r="F14" s="44">
        <f>105012.87+292.36</f>
        <v>105305.23</v>
      </c>
      <c r="G14" s="1">
        <v>104010</v>
      </c>
      <c r="H14" s="2">
        <v>127556</v>
      </c>
      <c r="I14" s="2">
        <v>117503</v>
      </c>
      <c r="J14" s="2">
        <v>110105</v>
      </c>
      <c r="K14" s="2">
        <v>106244</v>
      </c>
      <c r="L14" s="106">
        <v>112884</v>
      </c>
      <c r="M14" s="117">
        <v>146849</v>
      </c>
      <c r="N14" s="117">
        <v>121775</v>
      </c>
      <c r="O14" s="117">
        <v>121878</v>
      </c>
      <c r="P14" s="117">
        <v>130046</v>
      </c>
      <c r="Q14" s="117">
        <v>129571</v>
      </c>
      <c r="R14" s="1">
        <v>138395</v>
      </c>
      <c r="S14" s="1">
        <v>147553</v>
      </c>
      <c r="T14" s="1">
        <v>170365</v>
      </c>
      <c r="U14" s="1">
        <v>171542</v>
      </c>
    </row>
    <row r="15" spans="1:21" x14ac:dyDescent="0.2">
      <c r="A15" s="26" t="s">
        <v>10</v>
      </c>
      <c r="B15" s="12"/>
      <c r="C15" s="12"/>
      <c r="D15" s="44">
        <v>86704.09</v>
      </c>
      <c r="E15" s="44">
        <v>92197.81</v>
      </c>
      <c r="F15" s="44"/>
      <c r="G15" s="1">
        <v>94945</v>
      </c>
      <c r="H15" s="2">
        <v>106127</v>
      </c>
      <c r="I15" s="2">
        <v>104475</v>
      </c>
      <c r="J15" s="2">
        <v>102624</v>
      </c>
      <c r="K15" s="2">
        <v>102450</v>
      </c>
      <c r="L15" s="106">
        <v>117998</v>
      </c>
      <c r="M15" s="117">
        <v>111761</v>
      </c>
      <c r="N15" s="117">
        <v>114939</v>
      </c>
      <c r="O15" s="117">
        <v>117642</v>
      </c>
      <c r="P15" s="117">
        <v>129224</v>
      </c>
      <c r="Q15" s="117">
        <v>132817</v>
      </c>
      <c r="R15" s="1">
        <v>135216</v>
      </c>
      <c r="S15" s="1">
        <v>147738</v>
      </c>
      <c r="T15" s="1">
        <v>160402</v>
      </c>
      <c r="U15" s="1">
        <v>159944</v>
      </c>
    </row>
    <row r="16" spans="1:21" x14ac:dyDescent="0.2">
      <c r="A16" s="26" t="s">
        <v>11</v>
      </c>
      <c r="B16" s="13"/>
      <c r="C16" s="9"/>
      <c r="D16" s="82">
        <v>83456.92</v>
      </c>
      <c r="E16" s="82">
        <v>93176.94</v>
      </c>
      <c r="F16" s="82">
        <v>192197</v>
      </c>
      <c r="G16" s="39">
        <v>88714</v>
      </c>
      <c r="H16" s="40">
        <v>103684</v>
      </c>
      <c r="I16" s="40">
        <v>115629</v>
      </c>
      <c r="J16" s="40">
        <v>97600</v>
      </c>
      <c r="K16" s="40">
        <v>104542</v>
      </c>
      <c r="L16" s="95">
        <v>123729</v>
      </c>
      <c r="M16" s="95">
        <v>89502</v>
      </c>
      <c r="N16" s="95">
        <v>112217</v>
      </c>
      <c r="O16" s="95">
        <v>106914</v>
      </c>
      <c r="P16" s="95">
        <v>124087</v>
      </c>
      <c r="Q16" s="95">
        <v>128617</v>
      </c>
      <c r="R16" s="1">
        <v>128931</v>
      </c>
      <c r="S16" s="1">
        <v>152803</v>
      </c>
      <c r="T16" s="1">
        <v>174602</v>
      </c>
      <c r="U16" s="1">
        <v>160646</v>
      </c>
    </row>
    <row r="17" spans="1:21" x14ac:dyDescent="0.2">
      <c r="A17" s="25"/>
      <c r="B17" s="14"/>
      <c r="C17" s="14"/>
      <c r="D17" s="44">
        <f t="shared" ref="D17:J17" si="0">SUM(D5:D16)</f>
        <v>647483.01</v>
      </c>
      <c r="E17" s="44">
        <f t="shared" si="0"/>
        <v>1130739.19</v>
      </c>
      <c r="F17" s="44">
        <f t="shared" si="0"/>
        <v>1223986.31</v>
      </c>
      <c r="G17" s="44">
        <f t="shared" si="0"/>
        <v>1202917</v>
      </c>
      <c r="H17" s="44">
        <f t="shared" si="0"/>
        <v>1315102</v>
      </c>
      <c r="I17" s="44">
        <f t="shared" si="0"/>
        <v>1314764</v>
      </c>
      <c r="J17" s="44">
        <f t="shared" si="0"/>
        <v>1276446</v>
      </c>
      <c r="K17" s="44">
        <f t="shared" ref="K17:P17" si="1">SUM(K5:K16)</f>
        <v>1297547</v>
      </c>
      <c r="L17" s="96">
        <f t="shared" si="1"/>
        <v>1357463</v>
      </c>
      <c r="M17" s="96">
        <f t="shared" si="1"/>
        <v>1427329</v>
      </c>
      <c r="N17" s="96">
        <f t="shared" si="1"/>
        <v>1405246</v>
      </c>
      <c r="O17" s="96">
        <f t="shared" si="1"/>
        <v>1404948</v>
      </c>
      <c r="P17" s="96">
        <f t="shared" si="1"/>
        <v>1457497</v>
      </c>
      <c r="Q17" s="96">
        <f t="shared" ref="Q17:T17" si="2">SUM(Q5:Q16)</f>
        <v>1544081</v>
      </c>
      <c r="R17" s="126">
        <f t="shared" ref="R17" si="3">SUM(R5:R16)</f>
        <v>1548817</v>
      </c>
      <c r="S17" s="126">
        <f t="shared" si="2"/>
        <v>1718487</v>
      </c>
      <c r="T17" s="126">
        <f t="shared" si="2"/>
        <v>1948536</v>
      </c>
      <c r="U17" s="126">
        <f t="shared" ref="U17" si="4">SUM(U5:U16)</f>
        <v>1964706</v>
      </c>
    </row>
    <row r="18" spans="1:21" x14ac:dyDescent="0.2">
      <c r="A18" s="25"/>
      <c r="G18" s="1"/>
      <c r="L18" s="94"/>
    </row>
    <row r="19" spans="1:21" x14ac:dyDescent="0.2">
      <c r="A19" s="25"/>
      <c r="F19" s="35" t="s">
        <v>110</v>
      </c>
      <c r="G19" s="2"/>
      <c r="L19" s="94"/>
    </row>
    <row r="20" spans="1:21" x14ac:dyDescent="0.2">
      <c r="F20" s="35" t="s">
        <v>111</v>
      </c>
      <c r="G20" s="2"/>
      <c r="L20" s="94"/>
    </row>
    <row r="21" spans="1:21" x14ac:dyDescent="0.2">
      <c r="A21" s="24" t="s">
        <v>59</v>
      </c>
      <c r="B21" s="148">
        <v>5.0000000000000001E-3</v>
      </c>
      <c r="D21" s="94" t="s">
        <v>195</v>
      </c>
      <c r="G21" s="2"/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8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G23" s="2"/>
    </row>
    <row r="24" spans="1:21" x14ac:dyDescent="0.2">
      <c r="A24" s="26" t="s">
        <v>0</v>
      </c>
      <c r="B24" s="12"/>
      <c r="C24" s="12"/>
      <c r="D24" s="44"/>
      <c r="E24" s="44">
        <v>7853</v>
      </c>
      <c r="F24" s="44">
        <v>12337</v>
      </c>
      <c r="G24" s="1">
        <v>7871</v>
      </c>
      <c r="H24" s="2">
        <v>19231</v>
      </c>
      <c r="I24" s="2">
        <v>3966</v>
      </c>
      <c r="J24" s="2">
        <v>8702</v>
      </c>
      <c r="K24" s="2">
        <v>10377</v>
      </c>
      <c r="L24" s="102">
        <v>9544</v>
      </c>
      <c r="M24" s="117">
        <v>7569</v>
      </c>
      <c r="N24" s="117">
        <v>7073</v>
      </c>
      <c r="O24" s="117">
        <v>9801</v>
      </c>
      <c r="P24" s="117">
        <v>8230</v>
      </c>
      <c r="Q24" s="117">
        <v>5743</v>
      </c>
      <c r="R24" s="1">
        <v>5172</v>
      </c>
      <c r="S24" s="1">
        <v>6343</v>
      </c>
      <c r="T24" s="1">
        <v>5573</v>
      </c>
      <c r="U24" s="1">
        <v>9610</v>
      </c>
    </row>
    <row r="25" spans="1:21" x14ac:dyDescent="0.2">
      <c r="A25" s="26" t="s">
        <v>1</v>
      </c>
      <c r="B25" s="12"/>
      <c r="C25" s="12"/>
      <c r="D25" s="44"/>
      <c r="E25" s="44">
        <v>11398.12</v>
      </c>
      <c r="F25" s="44">
        <v>3221</v>
      </c>
      <c r="G25" s="1">
        <v>9576</v>
      </c>
      <c r="H25" s="2">
        <v>4069</v>
      </c>
      <c r="I25" s="2">
        <v>5760</v>
      </c>
      <c r="J25" s="2">
        <v>3908</v>
      </c>
      <c r="K25" s="2">
        <v>4357</v>
      </c>
      <c r="L25" s="102">
        <v>7528</v>
      </c>
      <c r="M25" s="117">
        <v>8160</v>
      </c>
      <c r="N25" s="117">
        <v>3162</v>
      </c>
      <c r="O25" s="117">
        <v>3876</v>
      </c>
      <c r="P25" s="117">
        <v>8334</v>
      </c>
      <c r="Q25" s="117">
        <v>4172</v>
      </c>
      <c r="R25" s="1">
        <v>5485</v>
      </c>
      <c r="S25" s="1">
        <v>4616</v>
      </c>
      <c r="T25" s="1">
        <v>6413</v>
      </c>
      <c r="U25" s="1">
        <v>7858</v>
      </c>
    </row>
    <row r="26" spans="1:21" x14ac:dyDescent="0.2">
      <c r="A26" s="26" t="s">
        <v>2</v>
      </c>
      <c r="B26" s="12"/>
      <c r="C26" s="12"/>
      <c r="D26" s="44"/>
      <c r="E26" s="44">
        <v>1744</v>
      </c>
      <c r="F26" s="44">
        <v>3307.21</v>
      </c>
      <c r="G26" s="1">
        <v>1084</v>
      </c>
      <c r="H26" s="2">
        <v>2913</v>
      </c>
      <c r="I26" s="2">
        <v>6636</v>
      </c>
      <c r="J26" s="2">
        <v>17827</v>
      </c>
      <c r="K26" s="2">
        <v>3948</v>
      </c>
      <c r="L26" s="102">
        <v>4163</v>
      </c>
      <c r="M26" s="117">
        <v>5029</v>
      </c>
      <c r="N26" s="117">
        <v>1224</v>
      </c>
      <c r="O26" s="117">
        <v>3033</v>
      </c>
      <c r="P26" s="117">
        <v>6555</v>
      </c>
      <c r="Q26" s="117">
        <v>3101</v>
      </c>
      <c r="R26" s="1">
        <v>3808</v>
      </c>
      <c r="S26" s="1">
        <v>3667</v>
      </c>
      <c r="T26" s="1">
        <v>7418</v>
      </c>
      <c r="U26" s="1">
        <v>4837</v>
      </c>
    </row>
    <row r="27" spans="1:21" x14ac:dyDescent="0.2">
      <c r="A27" s="26" t="s">
        <v>3</v>
      </c>
      <c r="B27" s="12"/>
      <c r="C27" s="12"/>
      <c r="D27" s="44">
        <v>0</v>
      </c>
      <c r="E27" s="44">
        <v>3236</v>
      </c>
      <c r="F27" s="44">
        <v>11517.27</v>
      </c>
      <c r="G27" s="1">
        <v>16751</v>
      </c>
      <c r="H27" s="2">
        <v>10312</v>
      </c>
      <c r="I27" s="2">
        <v>7106</v>
      </c>
      <c r="J27" s="2">
        <v>5581</v>
      </c>
      <c r="K27" s="2">
        <v>4244</v>
      </c>
      <c r="L27" s="102">
        <v>7238</v>
      </c>
      <c r="M27" s="117">
        <v>9384</v>
      </c>
      <c r="N27" s="117">
        <v>6191</v>
      </c>
      <c r="O27" s="117">
        <v>5901</v>
      </c>
      <c r="P27" s="117">
        <v>5010</v>
      </c>
      <c r="Q27" s="117">
        <v>4852</v>
      </c>
      <c r="R27" s="1">
        <v>5434</v>
      </c>
      <c r="S27" s="1">
        <v>7519</v>
      </c>
      <c r="T27" s="1">
        <v>5770</v>
      </c>
      <c r="U27" s="1">
        <v>6300</v>
      </c>
    </row>
    <row r="28" spans="1:21" x14ac:dyDescent="0.2">
      <c r="A28" s="26" t="s">
        <v>4</v>
      </c>
      <c r="B28" s="12"/>
      <c r="C28" s="12"/>
      <c r="D28" s="44">
        <v>1422</v>
      </c>
      <c r="E28" s="44">
        <v>2012</v>
      </c>
      <c r="F28" s="44">
        <v>4300.84</v>
      </c>
      <c r="G28" s="1">
        <v>4786</v>
      </c>
      <c r="H28" s="2">
        <v>4708</v>
      </c>
      <c r="I28" s="2">
        <v>5397</v>
      </c>
      <c r="J28" s="2">
        <v>2680</v>
      </c>
      <c r="K28" s="2">
        <v>2750</v>
      </c>
      <c r="L28" s="102">
        <v>6411</v>
      </c>
      <c r="M28" s="117">
        <v>6151</v>
      </c>
      <c r="N28" s="117">
        <v>4465</v>
      </c>
      <c r="O28" s="117">
        <v>5812</v>
      </c>
      <c r="P28" s="117">
        <v>3301</v>
      </c>
      <c r="Q28" s="117">
        <v>6794</v>
      </c>
      <c r="R28" s="1">
        <v>5850</v>
      </c>
      <c r="S28" s="1">
        <v>6446</v>
      </c>
      <c r="T28" s="1">
        <v>7546</v>
      </c>
      <c r="U28" s="1">
        <v>5373</v>
      </c>
    </row>
    <row r="29" spans="1:21" x14ac:dyDescent="0.2">
      <c r="A29" s="26" t="s">
        <v>5</v>
      </c>
      <c r="B29" s="12"/>
      <c r="C29" s="12"/>
      <c r="D29" s="44">
        <v>2046</v>
      </c>
      <c r="E29" s="44">
        <v>3898.27</v>
      </c>
      <c r="F29" s="44">
        <v>5339.16</v>
      </c>
      <c r="G29" s="1">
        <v>13410</v>
      </c>
      <c r="H29" s="2">
        <v>3717</v>
      </c>
      <c r="I29" s="2">
        <v>17113</v>
      </c>
      <c r="J29" s="2">
        <v>4277</v>
      </c>
      <c r="K29" s="2">
        <v>4238</v>
      </c>
      <c r="L29" s="102">
        <v>4937</v>
      </c>
      <c r="M29" s="117">
        <v>8742</v>
      </c>
      <c r="N29" s="117">
        <v>7082</v>
      </c>
      <c r="O29" s="117">
        <v>4209</v>
      </c>
      <c r="P29" s="117">
        <v>3572</v>
      </c>
      <c r="Q29" s="117">
        <v>5861</v>
      </c>
      <c r="R29" s="113">
        <v>4284</v>
      </c>
      <c r="S29" s="1">
        <v>3515</v>
      </c>
      <c r="T29" s="1">
        <v>6165</v>
      </c>
      <c r="U29" s="1">
        <v>6989</v>
      </c>
    </row>
    <row r="30" spans="1:21" x14ac:dyDescent="0.2">
      <c r="A30" s="26" t="s">
        <v>6</v>
      </c>
      <c r="B30" s="12"/>
      <c r="C30" s="12"/>
      <c r="D30" s="44">
        <v>5057</v>
      </c>
      <c r="E30" s="44">
        <v>5200</v>
      </c>
      <c r="F30" s="44">
        <v>6744.99</v>
      </c>
      <c r="G30" s="1">
        <v>16503</v>
      </c>
      <c r="H30" s="2">
        <v>36458</v>
      </c>
      <c r="I30" s="2">
        <v>7055</v>
      </c>
      <c r="J30" s="2">
        <v>17059</v>
      </c>
      <c r="K30" s="2">
        <v>7558</v>
      </c>
      <c r="L30" s="102">
        <v>7946</v>
      </c>
      <c r="M30" s="117">
        <v>7157</v>
      </c>
      <c r="N30" s="117">
        <v>7614</v>
      </c>
      <c r="O30" s="117">
        <v>4429</v>
      </c>
      <c r="P30" s="117">
        <v>4598</v>
      </c>
      <c r="Q30" s="117">
        <v>5786</v>
      </c>
      <c r="R30" s="1">
        <v>5089</v>
      </c>
      <c r="S30" s="1">
        <v>7003</v>
      </c>
      <c r="T30" s="1">
        <v>7573</v>
      </c>
      <c r="U30" s="1">
        <v>9700</v>
      </c>
    </row>
    <row r="31" spans="1:21" x14ac:dyDescent="0.2">
      <c r="A31" s="26" t="s">
        <v>7</v>
      </c>
      <c r="B31" s="12"/>
      <c r="C31" s="12"/>
      <c r="D31" s="44">
        <v>2444</v>
      </c>
      <c r="E31" s="44">
        <v>3116.5</v>
      </c>
      <c r="F31" s="44">
        <v>2367.91</v>
      </c>
      <c r="G31" s="1">
        <v>5605</v>
      </c>
      <c r="H31" s="2">
        <v>3594</v>
      </c>
      <c r="I31" s="2">
        <v>-9823</v>
      </c>
      <c r="J31" s="2">
        <v>5010</v>
      </c>
      <c r="K31" s="2">
        <v>3645</v>
      </c>
      <c r="L31" s="102">
        <v>5446</v>
      </c>
      <c r="M31" s="117">
        <v>5222</v>
      </c>
      <c r="N31" s="117">
        <v>6126</v>
      </c>
      <c r="O31" s="117">
        <v>4760</v>
      </c>
      <c r="P31" s="117">
        <v>7451</v>
      </c>
      <c r="Q31" s="117">
        <v>6580</v>
      </c>
      <c r="R31" s="1">
        <v>5807</v>
      </c>
      <c r="S31" s="1">
        <v>5482</v>
      </c>
      <c r="T31" s="1">
        <v>6065</v>
      </c>
      <c r="U31" s="1">
        <v>6987</v>
      </c>
    </row>
    <row r="32" spans="1:21" x14ac:dyDescent="0.2">
      <c r="A32" s="26" t="s">
        <v>8</v>
      </c>
      <c r="B32" s="12"/>
      <c r="C32" s="12"/>
      <c r="D32" s="44">
        <v>2817</v>
      </c>
      <c r="E32" s="44">
        <v>5297.79</v>
      </c>
      <c r="F32" s="44">
        <v>2973.27</v>
      </c>
      <c r="G32" s="1">
        <v>4483</v>
      </c>
      <c r="H32" s="2">
        <v>5256</v>
      </c>
      <c r="I32" s="2">
        <v>5200</v>
      </c>
      <c r="J32" s="2">
        <v>4640</v>
      </c>
      <c r="K32" s="2">
        <v>4198</v>
      </c>
      <c r="L32" s="102">
        <v>4961</v>
      </c>
      <c r="M32" s="117">
        <v>5000</v>
      </c>
      <c r="N32" s="117">
        <v>5443</v>
      </c>
      <c r="O32" s="117">
        <v>5308</v>
      </c>
      <c r="P32" s="117">
        <v>4061</v>
      </c>
      <c r="Q32" s="117">
        <v>4531</v>
      </c>
      <c r="R32" s="2">
        <v>4253</v>
      </c>
      <c r="S32" s="1">
        <v>7059</v>
      </c>
      <c r="T32" s="1">
        <v>7759</v>
      </c>
      <c r="U32" s="1">
        <v>4653</v>
      </c>
    </row>
    <row r="33" spans="1:21" x14ac:dyDescent="0.2">
      <c r="A33" s="26" t="s">
        <v>9</v>
      </c>
      <c r="B33" s="12"/>
      <c r="C33" s="12"/>
      <c r="D33" s="44">
        <v>4917</v>
      </c>
      <c r="E33" s="44">
        <v>10435.68</v>
      </c>
      <c r="F33" s="44">
        <f>11767.59+120.9</f>
        <v>11888.49</v>
      </c>
      <c r="G33" s="1">
        <v>11778</v>
      </c>
      <c r="H33" s="2">
        <v>5227</v>
      </c>
      <c r="I33" s="2">
        <v>4171</v>
      </c>
      <c r="J33" s="2">
        <v>5253</v>
      </c>
      <c r="K33" s="2">
        <v>8150</v>
      </c>
      <c r="L33" s="102">
        <v>6989</v>
      </c>
      <c r="M33" s="117">
        <v>5437</v>
      </c>
      <c r="N33" s="117">
        <v>7540</v>
      </c>
      <c r="O33" s="117">
        <v>8053</v>
      </c>
      <c r="P33" s="117">
        <v>4100</v>
      </c>
      <c r="Q33" s="117">
        <v>4997</v>
      </c>
      <c r="R33" s="1">
        <v>4444</v>
      </c>
      <c r="S33" s="1">
        <v>5585</v>
      </c>
      <c r="T33" s="1">
        <v>7692</v>
      </c>
      <c r="U33" s="1">
        <v>5858</v>
      </c>
    </row>
    <row r="34" spans="1:21" x14ac:dyDescent="0.2">
      <c r="A34" s="26" t="s">
        <v>10</v>
      </c>
      <c r="B34" s="12"/>
      <c r="C34" s="12"/>
      <c r="D34" s="44">
        <v>2399.19</v>
      </c>
      <c r="E34" s="44">
        <v>2934.39</v>
      </c>
      <c r="F34" s="44"/>
      <c r="G34" s="1">
        <v>5062</v>
      </c>
      <c r="H34" s="2">
        <v>3240</v>
      </c>
      <c r="I34" s="2">
        <v>3896</v>
      </c>
      <c r="J34" s="2">
        <v>6684</v>
      </c>
      <c r="K34" s="2">
        <v>6195</v>
      </c>
      <c r="L34" s="102">
        <v>7914</v>
      </c>
      <c r="M34" s="117">
        <v>5901</v>
      </c>
      <c r="N34" s="117">
        <v>5607</v>
      </c>
      <c r="O34" s="117">
        <v>4232</v>
      </c>
      <c r="P34" s="117">
        <v>8550</v>
      </c>
      <c r="Q34" s="117">
        <v>4354</v>
      </c>
      <c r="R34" s="1">
        <v>4757</v>
      </c>
      <c r="S34" s="1">
        <v>4726</v>
      </c>
      <c r="T34" s="1">
        <v>6671</v>
      </c>
      <c r="U34" s="1">
        <v>6463</v>
      </c>
    </row>
    <row r="35" spans="1:21" x14ac:dyDescent="0.2">
      <c r="A35" s="26" t="s">
        <v>11</v>
      </c>
      <c r="B35" s="13"/>
      <c r="C35" s="9"/>
      <c r="D35" s="82">
        <v>3929.07</v>
      </c>
      <c r="E35" s="82">
        <v>5777.59</v>
      </c>
      <c r="F35" s="82">
        <v>7304</v>
      </c>
      <c r="G35" s="39">
        <v>2571</v>
      </c>
      <c r="H35" s="40">
        <v>4054</v>
      </c>
      <c r="I35" s="40">
        <v>13944</v>
      </c>
      <c r="J35" s="40">
        <v>3889</v>
      </c>
      <c r="K35" s="40">
        <v>14520</v>
      </c>
      <c r="L35" s="95">
        <v>5268</v>
      </c>
      <c r="M35" s="95">
        <v>4740</v>
      </c>
      <c r="N35" s="95">
        <v>4285</v>
      </c>
      <c r="O35" s="95">
        <v>1632</v>
      </c>
      <c r="P35" s="95">
        <v>5198</v>
      </c>
      <c r="Q35" s="95">
        <v>4295</v>
      </c>
      <c r="R35" s="1">
        <v>3985</v>
      </c>
      <c r="S35" s="1">
        <v>5718</v>
      </c>
      <c r="T35" s="1">
        <v>5943</v>
      </c>
      <c r="U35" s="1">
        <v>5469</v>
      </c>
    </row>
    <row r="36" spans="1:21" x14ac:dyDescent="0.2">
      <c r="A36" s="25"/>
      <c r="B36" s="14"/>
      <c r="C36" s="14"/>
      <c r="D36" s="44">
        <f t="shared" ref="D36:J36" si="5">SUM(D24:D35)</f>
        <v>25031.26</v>
      </c>
      <c r="E36" s="44">
        <f t="shared" si="5"/>
        <v>62903.34</v>
      </c>
      <c r="F36" s="44">
        <f t="shared" si="5"/>
        <v>71301.139999999985</v>
      </c>
      <c r="G36" s="44">
        <f t="shared" si="5"/>
        <v>99480</v>
      </c>
      <c r="H36" s="44">
        <f t="shared" si="5"/>
        <v>102779</v>
      </c>
      <c r="I36" s="44">
        <f t="shared" si="5"/>
        <v>70421</v>
      </c>
      <c r="J36" s="44">
        <f t="shared" si="5"/>
        <v>85510</v>
      </c>
      <c r="K36" s="44">
        <f t="shared" ref="K36:P36" si="6">SUM(K24:K35)</f>
        <v>74180</v>
      </c>
      <c r="L36" s="96">
        <f t="shared" si="6"/>
        <v>78345</v>
      </c>
      <c r="M36" s="96">
        <f t="shared" si="6"/>
        <v>78492</v>
      </c>
      <c r="N36" s="96">
        <f t="shared" si="6"/>
        <v>65812</v>
      </c>
      <c r="O36" s="96">
        <f t="shared" si="6"/>
        <v>61046</v>
      </c>
      <c r="P36" s="96">
        <f t="shared" si="6"/>
        <v>68960</v>
      </c>
      <c r="Q36" s="96">
        <f t="shared" ref="Q36:T36" si="7">SUM(Q24:Q35)</f>
        <v>61066</v>
      </c>
      <c r="R36" s="126">
        <f t="shared" ref="R36" si="8">SUM(R24:R35)</f>
        <v>58368</v>
      </c>
      <c r="S36" s="126">
        <f t="shared" si="7"/>
        <v>67679</v>
      </c>
      <c r="T36" s="126">
        <f t="shared" si="7"/>
        <v>80588</v>
      </c>
      <c r="U36" s="126">
        <f t="shared" ref="U36" si="9">SUM(U24:U35)</f>
        <v>80097</v>
      </c>
    </row>
    <row r="37" spans="1:21" x14ac:dyDescent="0.2">
      <c r="G37" s="1"/>
      <c r="H37" s="2"/>
      <c r="L37" s="94"/>
    </row>
    <row r="38" spans="1:21" x14ac:dyDescent="0.2">
      <c r="G38" s="1"/>
    </row>
    <row r="39" spans="1:21" x14ac:dyDescent="0.2">
      <c r="A39" s="29" t="s">
        <v>258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-368</v>
      </c>
      <c r="H42" s="2">
        <v>0</v>
      </c>
      <c r="I42" s="2">
        <v>0</v>
      </c>
      <c r="J42" s="2">
        <v>-12639</v>
      </c>
      <c r="K42" s="2">
        <v>-327</v>
      </c>
      <c r="L42" s="2">
        <v>-10440</v>
      </c>
      <c r="M42" s="2">
        <v>-7912</v>
      </c>
      <c r="N42" s="2">
        <v>-3282</v>
      </c>
      <c r="O42" s="117">
        <v>-3793</v>
      </c>
      <c r="P42" s="117">
        <v>-304</v>
      </c>
      <c r="Q42" s="117">
        <v>-877</v>
      </c>
      <c r="R42" s="1">
        <v>-16</v>
      </c>
      <c r="S42" s="117">
        <v>0</v>
      </c>
      <c r="T42" s="1">
        <v>-421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-619</v>
      </c>
      <c r="H43" s="2">
        <v>-1399</v>
      </c>
      <c r="I43" s="2">
        <v>-94777</v>
      </c>
      <c r="J43" s="2">
        <v>-28</v>
      </c>
      <c r="K43" s="2">
        <v>-16419</v>
      </c>
      <c r="L43" s="2">
        <v>-11415</v>
      </c>
      <c r="M43" s="2">
        <v>-3122</v>
      </c>
      <c r="N43" s="2">
        <v>0</v>
      </c>
      <c r="O43" s="117">
        <v>-1984</v>
      </c>
      <c r="P43" s="117">
        <v>-1543</v>
      </c>
      <c r="Q43" s="117">
        <v>0</v>
      </c>
      <c r="R43" s="1">
        <v>-1868</v>
      </c>
      <c r="S43" s="117">
        <v>0</v>
      </c>
      <c r="T43" s="1">
        <v>0</v>
      </c>
      <c r="U43" s="117">
        <v>-137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-15858</v>
      </c>
      <c r="H44" s="2">
        <v>-6709</v>
      </c>
      <c r="I44" s="2">
        <v>-435</v>
      </c>
      <c r="J44" s="2">
        <v>-15684</v>
      </c>
      <c r="K44" s="2">
        <v>-2160</v>
      </c>
      <c r="L44" s="2">
        <v>-2762</v>
      </c>
      <c r="M44" s="2">
        <v>-7349</v>
      </c>
      <c r="N44" s="2">
        <v>-34801</v>
      </c>
      <c r="O44" s="117">
        <v>0</v>
      </c>
      <c r="P44" s="117">
        <v>-4833</v>
      </c>
      <c r="Q44" s="117">
        <v>0</v>
      </c>
      <c r="R44" s="1">
        <v>-986</v>
      </c>
      <c r="S44" s="117">
        <v>-8</v>
      </c>
      <c r="T44" s="1">
        <v>0</v>
      </c>
      <c r="U44" s="117">
        <v>-506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-13465</v>
      </c>
      <c r="H45" s="2">
        <v>-10718</v>
      </c>
      <c r="I45" s="2">
        <v>-4454</v>
      </c>
      <c r="J45" s="2">
        <v>-4508</v>
      </c>
      <c r="K45" s="2">
        <v>0</v>
      </c>
      <c r="L45" s="2">
        <v>-1495</v>
      </c>
      <c r="M45" s="2">
        <v>-1026</v>
      </c>
      <c r="N45" s="2">
        <v>-1500</v>
      </c>
      <c r="O45" s="117">
        <v>-319</v>
      </c>
      <c r="P45" s="117">
        <v>-21437</v>
      </c>
      <c r="Q45" s="117">
        <v>-1</v>
      </c>
      <c r="R45" s="117">
        <v>0</v>
      </c>
      <c r="S45" s="117">
        <v>0</v>
      </c>
      <c r="T45" s="1">
        <v>-332</v>
      </c>
      <c r="U45" s="117">
        <v>-320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-62</v>
      </c>
      <c r="H46" s="2">
        <v>-23833</v>
      </c>
      <c r="I46" s="2">
        <v>-1348</v>
      </c>
      <c r="J46" s="2">
        <v>-22511</v>
      </c>
      <c r="K46" s="2">
        <v>-316</v>
      </c>
      <c r="L46" s="2">
        <v>-452</v>
      </c>
      <c r="M46" s="2">
        <v>-36</v>
      </c>
      <c r="N46" s="2">
        <v>-8881</v>
      </c>
      <c r="O46" s="117">
        <v>0</v>
      </c>
      <c r="P46" s="117">
        <v>0</v>
      </c>
      <c r="Q46" s="117">
        <v>-2898</v>
      </c>
      <c r="R46" s="1">
        <v>-41</v>
      </c>
      <c r="S46" s="117">
        <v>0</v>
      </c>
      <c r="T46" s="1">
        <v>0</v>
      </c>
      <c r="U46" s="117">
        <v>-9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-770</v>
      </c>
      <c r="J47" s="2">
        <v>0</v>
      </c>
      <c r="K47" s="2">
        <v>-18624</v>
      </c>
      <c r="L47" s="2">
        <v>-17751</v>
      </c>
      <c r="M47" s="2">
        <v>-36048</v>
      </c>
      <c r="N47" s="2">
        <v>6</v>
      </c>
      <c r="O47" s="117">
        <v>-73</v>
      </c>
      <c r="P47" s="117">
        <v>0</v>
      </c>
      <c r="Q47" s="117">
        <v>0</v>
      </c>
      <c r="R47" s="113">
        <v>-1448</v>
      </c>
      <c r="S47" s="117">
        <v>0</v>
      </c>
      <c r="T47" s="1">
        <v>0</v>
      </c>
      <c r="U47" s="117">
        <v>-32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-1671</v>
      </c>
      <c r="H48" s="2">
        <v>0</v>
      </c>
      <c r="I48" s="2">
        <v>-663</v>
      </c>
      <c r="J48" s="2">
        <v>-1335</v>
      </c>
      <c r="K48" s="2">
        <v>-1450</v>
      </c>
      <c r="L48" s="2">
        <v>-67</v>
      </c>
      <c r="M48" s="2">
        <v>-6</v>
      </c>
      <c r="N48" s="2">
        <v>-211</v>
      </c>
      <c r="O48" s="117">
        <v>0</v>
      </c>
      <c r="P48" s="117">
        <v>0</v>
      </c>
      <c r="Q48" s="117">
        <v>-921</v>
      </c>
      <c r="R48" s="113">
        <v>0</v>
      </c>
      <c r="S48" s="117">
        <v>0</v>
      </c>
      <c r="T48" s="1">
        <v>-672</v>
      </c>
      <c r="U48" s="117">
        <v>-6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-2846</v>
      </c>
      <c r="H49" s="2">
        <v>0</v>
      </c>
      <c r="I49" s="2">
        <v>-1942</v>
      </c>
      <c r="J49" s="2">
        <v>-3404</v>
      </c>
      <c r="K49" s="2">
        <v>-4366</v>
      </c>
      <c r="L49" s="2">
        <v>-20149</v>
      </c>
      <c r="M49" s="2">
        <v>-548</v>
      </c>
      <c r="N49" s="2">
        <v>-2952</v>
      </c>
      <c r="O49" s="117">
        <v>-47</v>
      </c>
      <c r="P49" s="117">
        <v>0</v>
      </c>
      <c r="Q49" s="117">
        <v>0</v>
      </c>
      <c r="R49" s="1">
        <v>-4551</v>
      </c>
      <c r="S49" s="117">
        <v>0</v>
      </c>
      <c r="T49" s="1">
        <v>0</v>
      </c>
      <c r="U49" s="117">
        <v>-14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-1039</v>
      </c>
      <c r="H50" s="2">
        <v>-256</v>
      </c>
      <c r="I50" s="2">
        <v>-161</v>
      </c>
      <c r="J50" s="2">
        <v>-4436</v>
      </c>
      <c r="K50" s="2">
        <v>-3020</v>
      </c>
      <c r="L50" s="2">
        <v>-127</v>
      </c>
      <c r="M50" s="2">
        <v>-963</v>
      </c>
      <c r="N50" s="2">
        <v>0</v>
      </c>
      <c r="O50" s="117">
        <v>-3367</v>
      </c>
      <c r="P50" s="117">
        <v>-172</v>
      </c>
      <c r="Q50" s="117">
        <v>-1620</v>
      </c>
      <c r="R50" s="117">
        <v>-390</v>
      </c>
      <c r="S50" s="117">
        <v>0</v>
      </c>
      <c r="T50" s="1">
        <v>-1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-77</v>
      </c>
      <c r="H51" s="2">
        <v>-2683</v>
      </c>
      <c r="I51" s="2">
        <v>-4813</v>
      </c>
      <c r="J51" s="2">
        <v>-399</v>
      </c>
      <c r="K51" s="2">
        <v>-285</v>
      </c>
      <c r="L51" s="2">
        <v>-691</v>
      </c>
      <c r="M51" s="2">
        <v>-2182</v>
      </c>
      <c r="N51" s="2">
        <v>-160</v>
      </c>
      <c r="O51" s="117">
        <v>-62</v>
      </c>
      <c r="P51" s="117">
        <v>-89</v>
      </c>
      <c r="Q51" s="117">
        <v>-15</v>
      </c>
      <c r="R51" s="117">
        <v>-75</v>
      </c>
      <c r="S51" s="117">
        <v>0</v>
      </c>
      <c r="T51" s="1">
        <v>-641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-3308</v>
      </c>
      <c r="H52" s="2">
        <v>-22195</v>
      </c>
      <c r="I52" s="2">
        <v>0</v>
      </c>
      <c r="J52" s="2">
        <v>-4636</v>
      </c>
      <c r="K52" s="2">
        <v>-1</v>
      </c>
      <c r="L52" s="2">
        <v>-510</v>
      </c>
      <c r="M52" s="2">
        <v>-536</v>
      </c>
      <c r="N52" s="2">
        <v>-3342</v>
      </c>
      <c r="O52" s="117">
        <v>-45</v>
      </c>
      <c r="P52" s="117">
        <v>-473</v>
      </c>
      <c r="Q52" s="117">
        <v>-1853</v>
      </c>
      <c r="R52" s="117">
        <v>0</v>
      </c>
      <c r="S52" s="117">
        <v>0</v>
      </c>
      <c r="T52" s="1">
        <v>0</v>
      </c>
      <c r="U52" s="1">
        <v>-6663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0</v>
      </c>
      <c r="H53" s="40">
        <v>-172</v>
      </c>
      <c r="I53" s="40">
        <v>-2725</v>
      </c>
      <c r="J53" s="40">
        <v>-12</v>
      </c>
      <c r="K53" s="40">
        <v>-10914</v>
      </c>
      <c r="L53" s="40">
        <v>-665</v>
      </c>
      <c r="M53" s="40">
        <v>-509</v>
      </c>
      <c r="N53" s="40">
        <v>0</v>
      </c>
      <c r="O53" s="95">
        <v>-1570</v>
      </c>
      <c r="P53" s="168">
        <v>0</v>
      </c>
      <c r="Q53" s="168">
        <v>-986</v>
      </c>
      <c r="R53" s="1">
        <v>-1305</v>
      </c>
      <c r="S53" s="182">
        <v>-5</v>
      </c>
      <c r="T53" s="1">
        <v>-62</v>
      </c>
      <c r="U53" s="182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N54" si="10">SUM(G42:G53)</f>
        <v>-39313</v>
      </c>
      <c r="H54" s="126">
        <f t="shared" si="10"/>
        <v>-67965</v>
      </c>
      <c r="I54" s="126">
        <f t="shared" si="10"/>
        <v>-112088</v>
      </c>
      <c r="J54" s="126">
        <f t="shared" si="10"/>
        <v>-69592</v>
      </c>
      <c r="K54" s="126">
        <f t="shared" si="10"/>
        <v>-57882</v>
      </c>
      <c r="L54" s="126">
        <f t="shared" si="10"/>
        <v>-66524</v>
      </c>
      <c r="M54" s="126">
        <f t="shared" si="10"/>
        <v>-60237</v>
      </c>
      <c r="N54" s="126">
        <f t="shared" si="10"/>
        <v>-55123</v>
      </c>
      <c r="O54" s="96">
        <f>SUM(O42:O53)</f>
        <v>-11260</v>
      </c>
      <c r="P54" s="96">
        <f>SUM(P42:P53)</f>
        <v>-28851</v>
      </c>
      <c r="Q54" s="96">
        <f>SUM(Q42:Q53)</f>
        <v>-9171</v>
      </c>
      <c r="R54" s="126">
        <f t="shared" ref="R54" si="11">SUM(R42:R53)</f>
        <v>-10680</v>
      </c>
      <c r="S54" s="126">
        <f>SUM(S42:S53)</f>
        <v>-13</v>
      </c>
      <c r="T54" s="126">
        <f t="shared" ref="T54" si="12">SUM(T42:T53)</f>
        <v>-2129</v>
      </c>
      <c r="U54" s="126">
        <f>SUM(U42:U53)</f>
        <v>-7687</v>
      </c>
    </row>
  </sheetData>
  <phoneticPr fontId="4" type="noConversion"/>
  <pageMargins left="0.24" right="0.24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2:U54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9" customWidth="1"/>
    <col min="5" max="5" width="10.7109375" bestFit="1" customWidth="1"/>
    <col min="6" max="6" width="11" customWidth="1"/>
    <col min="7" max="8" width="10.7109375" bestFit="1" customWidth="1"/>
    <col min="9" max="11" width="10.140625" bestFit="1" customWidth="1"/>
    <col min="12" max="21" width="10.7109375" bestFit="1" customWidth="1"/>
  </cols>
  <sheetData>
    <row r="2" spans="1:21" x14ac:dyDescent="0.2">
      <c r="A2" s="24" t="s">
        <v>60</v>
      </c>
      <c r="B2" s="148">
        <v>5.0000000000000001E-3</v>
      </c>
      <c r="D2" s="94" t="s">
        <v>196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2"/>
      <c r="C5" s="12"/>
      <c r="D5" s="2">
        <v>0</v>
      </c>
      <c r="E5" s="1">
        <v>189369</v>
      </c>
      <c r="F5" s="1">
        <v>190538.72</v>
      </c>
      <c r="G5" s="1">
        <v>198960</v>
      </c>
      <c r="H5" s="2">
        <v>172530</v>
      </c>
      <c r="I5" s="2">
        <v>175392</v>
      </c>
      <c r="J5" s="2">
        <v>176015</v>
      </c>
      <c r="K5" s="2">
        <v>195222</v>
      </c>
      <c r="L5" s="102">
        <v>188309</v>
      </c>
      <c r="M5" s="117">
        <v>190550</v>
      </c>
      <c r="N5" s="117">
        <v>220400</v>
      </c>
      <c r="O5" s="117">
        <v>226165</v>
      </c>
      <c r="P5" s="117">
        <v>223385</v>
      </c>
      <c r="Q5" s="117">
        <v>228646</v>
      </c>
      <c r="R5" s="1">
        <v>238166</v>
      </c>
      <c r="S5" s="1">
        <v>258201</v>
      </c>
      <c r="T5" s="1">
        <v>235525</v>
      </c>
      <c r="U5" s="1">
        <v>288863</v>
      </c>
    </row>
    <row r="6" spans="1:21" x14ac:dyDescent="0.2">
      <c r="A6" s="26" t="s">
        <v>1</v>
      </c>
      <c r="B6" s="12"/>
      <c r="C6" s="12"/>
      <c r="D6" s="2">
        <v>0</v>
      </c>
      <c r="E6" s="1">
        <f>124747+1341</f>
        <v>126088</v>
      </c>
      <c r="F6" s="1">
        <f>658+123854.13</f>
        <v>124512.13</v>
      </c>
      <c r="G6" s="1">
        <v>148316</v>
      </c>
      <c r="H6" s="2">
        <v>112476</v>
      </c>
      <c r="I6" s="2">
        <v>115794</v>
      </c>
      <c r="J6" s="2">
        <v>115318</v>
      </c>
      <c r="K6" s="2">
        <v>138738</v>
      </c>
      <c r="L6" s="102">
        <v>161615</v>
      </c>
      <c r="M6" s="117">
        <v>149226</v>
      </c>
      <c r="N6" s="117">
        <v>151939</v>
      </c>
      <c r="O6" s="117">
        <v>156107</v>
      </c>
      <c r="P6" s="117">
        <v>160445</v>
      </c>
      <c r="Q6" s="117">
        <v>168183</v>
      </c>
      <c r="R6" s="1">
        <v>174860</v>
      </c>
      <c r="S6" s="1">
        <v>206137</v>
      </c>
      <c r="T6" s="1">
        <v>222404</v>
      </c>
      <c r="U6" s="1">
        <v>227995</v>
      </c>
    </row>
    <row r="7" spans="1:21" x14ac:dyDescent="0.2">
      <c r="A7" s="26" t="s">
        <v>2</v>
      </c>
      <c r="B7" s="12"/>
      <c r="C7" s="12"/>
      <c r="D7" s="2">
        <v>0</v>
      </c>
      <c r="E7" s="1">
        <v>114890</v>
      </c>
      <c r="F7" s="1">
        <v>118447.9</v>
      </c>
      <c r="G7" s="1">
        <v>118550</v>
      </c>
      <c r="H7" s="2">
        <v>113494</v>
      </c>
      <c r="I7" s="2">
        <v>117017</v>
      </c>
      <c r="J7" s="2">
        <v>119654</v>
      </c>
      <c r="K7" s="2">
        <v>133235</v>
      </c>
      <c r="L7" s="106">
        <v>135450</v>
      </c>
      <c r="M7" s="117">
        <v>155279</v>
      </c>
      <c r="N7" s="117">
        <v>149563</v>
      </c>
      <c r="O7" s="117">
        <v>146627</v>
      </c>
      <c r="P7" s="117">
        <v>151291</v>
      </c>
      <c r="Q7" s="117">
        <v>153131</v>
      </c>
      <c r="R7" s="1">
        <v>170807</v>
      </c>
      <c r="S7" s="1">
        <v>202090</v>
      </c>
      <c r="T7" s="1">
        <v>195192</v>
      </c>
      <c r="U7" s="1">
        <v>219085</v>
      </c>
    </row>
    <row r="8" spans="1:21" x14ac:dyDescent="0.2">
      <c r="A8" s="26" t="s">
        <v>3</v>
      </c>
      <c r="B8" s="12"/>
      <c r="C8" s="12"/>
      <c r="D8" s="2">
        <v>0</v>
      </c>
      <c r="E8" s="1">
        <f>134907.67+7</f>
        <v>134914.67000000001</v>
      </c>
      <c r="F8" s="1">
        <v>134520.48000000001</v>
      </c>
      <c r="G8" s="1">
        <v>121687</v>
      </c>
      <c r="H8" s="2">
        <v>137512</v>
      </c>
      <c r="I8" s="2">
        <v>121631</v>
      </c>
      <c r="J8" s="2">
        <v>138232</v>
      </c>
      <c r="K8" s="2">
        <v>144573</v>
      </c>
      <c r="L8" s="106">
        <v>153172</v>
      </c>
      <c r="M8" s="117">
        <v>166156</v>
      </c>
      <c r="N8" s="117">
        <v>180426</v>
      </c>
      <c r="O8" s="117">
        <v>179548</v>
      </c>
      <c r="P8" s="117">
        <v>180680</v>
      </c>
      <c r="Q8" s="117">
        <v>187897</v>
      </c>
      <c r="R8" s="1">
        <v>193434</v>
      </c>
      <c r="S8" s="1">
        <v>249281</v>
      </c>
      <c r="T8" s="1">
        <v>353471</v>
      </c>
      <c r="U8" s="1">
        <v>260948</v>
      </c>
    </row>
    <row r="9" spans="1:21" x14ac:dyDescent="0.2">
      <c r="A9" s="26" t="s">
        <v>4</v>
      </c>
      <c r="B9" s="12"/>
      <c r="C9" s="12"/>
      <c r="D9" s="2">
        <v>0</v>
      </c>
      <c r="E9" s="1">
        <f>147029-47</f>
        <v>146982</v>
      </c>
      <c r="F9" s="1">
        <v>133766.41</v>
      </c>
      <c r="G9" s="1">
        <v>136945</v>
      </c>
      <c r="H9" s="2">
        <v>140994</v>
      </c>
      <c r="I9" s="2">
        <v>154678</v>
      </c>
      <c r="J9" s="2">
        <v>145277</v>
      </c>
      <c r="K9" s="2">
        <v>149357</v>
      </c>
      <c r="L9" s="106">
        <v>162214</v>
      </c>
      <c r="M9" s="117">
        <v>179237</v>
      </c>
      <c r="N9" s="117">
        <v>185560</v>
      </c>
      <c r="O9" s="117">
        <v>195856</v>
      </c>
      <c r="P9" s="117">
        <v>187899</v>
      </c>
      <c r="Q9" s="117">
        <v>201406</v>
      </c>
      <c r="R9" s="1">
        <v>216166</v>
      </c>
      <c r="S9" s="1">
        <v>259676</v>
      </c>
      <c r="T9" s="1">
        <v>251929</v>
      </c>
      <c r="U9" s="1">
        <v>262930</v>
      </c>
    </row>
    <row r="10" spans="1:21" x14ac:dyDescent="0.2">
      <c r="A10" s="26" t="s">
        <v>5</v>
      </c>
      <c r="B10" s="12"/>
      <c r="C10" s="12"/>
      <c r="D10" s="2">
        <v>0</v>
      </c>
      <c r="E10" s="1">
        <f>160988.25-428</f>
        <v>160560.25</v>
      </c>
      <c r="F10" s="1">
        <v>169469.76</v>
      </c>
      <c r="G10" s="1">
        <v>157615</v>
      </c>
      <c r="H10" s="2">
        <v>154921</v>
      </c>
      <c r="I10" s="2">
        <v>160613</v>
      </c>
      <c r="J10" s="2">
        <v>143526</v>
      </c>
      <c r="K10" s="2">
        <v>187608</v>
      </c>
      <c r="L10" s="106">
        <v>186394</v>
      </c>
      <c r="M10" s="117">
        <v>207677</v>
      </c>
      <c r="N10" s="117">
        <v>208915</v>
      </c>
      <c r="O10" s="117">
        <v>225246</v>
      </c>
      <c r="P10" s="117">
        <v>233309</v>
      </c>
      <c r="Q10" s="117">
        <v>244064</v>
      </c>
      <c r="R10" s="1">
        <v>266499</v>
      </c>
      <c r="S10" s="1">
        <v>284088</v>
      </c>
      <c r="T10" s="1">
        <v>381624</v>
      </c>
      <c r="U10" s="1">
        <v>318667</v>
      </c>
    </row>
    <row r="11" spans="1:21" x14ac:dyDescent="0.2">
      <c r="A11" s="26" t="s">
        <v>6</v>
      </c>
      <c r="B11" s="12"/>
      <c r="C11" s="12"/>
      <c r="D11" s="2">
        <v>0</v>
      </c>
      <c r="E11" s="1">
        <v>152712.51</v>
      </c>
      <c r="F11" s="1">
        <v>147540.35999999999</v>
      </c>
      <c r="G11" s="1">
        <v>121253</v>
      </c>
      <c r="H11" s="2">
        <v>155739</v>
      </c>
      <c r="I11" s="2">
        <v>158134</v>
      </c>
      <c r="J11" s="2">
        <v>176621</v>
      </c>
      <c r="K11" s="2">
        <v>157367</v>
      </c>
      <c r="L11" s="106">
        <v>193279</v>
      </c>
      <c r="M11" s="117">
        <v>180278</v>
      </c>
      <c r="N11" s="117">
        <v>187233</v>
      </c>
      <c r="O11" s="117">
        <v>199751</v>
      </c>
      <c r="P11" s="117">
        <v>193829</v>
      </c>
      <c r="Q11" s="117">
        <v>244725</v>
      </c>
      <c r="R11" s="1">
        <v>206308</v>
      </c>
      <c r="S11" s="1">
        <v>258730</v>
      </c>
      <c r="T11" s="1">
        <v>279677</v>
      </c>
      <c r="U11" s="1">
        <v>360986</v>
      </c>
    </row>
    <row r="12" spans="1:21" x14ac:dyDescent="0.2">
      <c r="A12" s="26" t="s">
        <v>7</v>
      </c>
      <c r="B12" s="12"/>
      <c r="C12" s="12"/>
      <c r="D12" s="2">
        <v>0</v>
      </c>
      <c r="E12" s="1">
        <v>202760.23</v>
      </c>
      <c r="F12" s="1">
        <v>203770.08</v>
      </c>
      <c r="G12" s="1">
        <v>206907</v>
      </c>
      <c r="H12" s="2">
        <v>178734</v>
      </c>
      <c r="I12" s="2">
        <v>172788</v>
      </c>
      <c r="J12" s="2">
        <v>220436</v>
      </c>
      <c r="K12" s="2">
        <v>244520</v>
      </c>
      <c r="L12" s="106">
        <v>220195</v>
      </c>
      <c r="M12" s="117">
        <v>261002</v>
      </c>
      <c r="N12" s="117">
        <v>269123</v>
      </c>
      <c r="O12" s="117">
        <v>284360</v>
      </c>
      <c r="P12" s="117">
        <v>297175</v>
      </c>
      <c r="Q12" s="117">
        <v>273595</v>
      </c>
      <c r="R12" s="1">
        <v>355290</v>
      </c>
      <c r="S12" s="1">
        <v>360586</v>
      </c>
      <c r="T12" s="1">
        <v>312505</v>
      </c>
      <c r="U12" s="1">
        <v>332100</v>
      </c>
    </row>
    <row r="13" spans="1:21" x14ac:dyDescent="0.2">
      <c r="A13" s="26" t="s">
        <v>8</v>
      </c>
      <c r="B13" s="12"/>
      <c r="C13" s="12"/>
      <c r="D13" s="2">
        <v>0</v>
      </c>
      <c r="E13" s="1">
        <f>163417.33+1593</f>
        <v>165010.32999999999</v>
      </c>
      <c r="F13" s="1">
        <v>167602.64000000001</v>
      </c>
      <c r="G13" s="1">
        <v>135495</v>
      </c>
      <c r="H13" s="2">
        <v>158172</v>
      </c>
      <c r="I13" s="2">
        <v>165669</v>
      </c>
      <c r="J13" s="2">
        <v>208300</v>
      </c>
      <c r="K13" s="2">
        <v>201560</v>
      </c>
      <c r="L13" s="106">
        <v>209886</v>
      </c>
      <c r="M13" s="117">
        <v>200513</v>
      </c>
      <c r="N13" s="117">
        <v>226526</v>
      </c>
      <c r="O13" s="117">
        <v>249529</v>
      </c>
      <c r="P13" s="117">
        <v>249053</v>
      </c>
      <c r="Q13" s="117">
        <v>260306</v>
      </c>
      <c r="R13" s="2">
        <v>273348</v>
      </c>
      <c r="S13" s="1">
        <v>280670</v>
      </c>
      <c r="T13" s="1">
        <v>340874</v>
      </c>
      <c r="U13" s="1">
        <v>354555</v>
      </c>
    </row>
    <row r="14" spans="1:21" x14ac:dyDescent="0.2">
      <c r="A14" s="26" t="s">
        <v>9</v>
      </c>
      <c r="B14" s="12"/>
      <c r="C14" s="12"/>
      <c r="D14" s="2">
        <v>0</v>
      </c>
      <c r="E14" s="1">
        <v>155503.75</v>
      </c>
      <c r="F14" s="1">
        <f>148991.25+423-350</f>
        <v>149064.25</v>
      </c>
      <c r="G14" s="1">
        <v>162572</v>
      </c>
      <c r="H14" s="2">
        <v>149614</v>
      </c>
      <c r="I14" s="2">
        <v>152652</v>
      </c>
      <c r="J14" s="2">
        <v>164972</v>
      </c>
      <c r="K14" s="2">
        <v>174795</v>
      </c>
      <c r="L14" s="106">
        <v>178588</v>
      </c>
      <c r="M14" s="117">
        <v>195741</v>
      </c>
      <c r="N14" s="117">
        <v>203396</v>
      </c>
      <c r="O14" s="117">
        <v>205704</v>
      </c>
      <c r="P14" s="117">
        <v>205675</v>
      </c>
      <c r="Q14" s="117">
        <v>225224</v>
      </c>
      <c r="R14" s="1">
        <v>251710</v>
      </c>
      <c r="S14" s="1">
        <v>252132</v>
      </c>
      <c r="T14" s="1">
        <v>280028</v>
      </c>
      <c r="U14" s="1">
        <v>298883</v>
      </c>
    </row>
    <row r="15" spans="1:21" x14ac:dyDescent="0.2">
      <c r="A15" s="26" t="s">
        <v>10</v>
      </c>
      <c r="B15" s="12"/>
      <c r="C15" s="12"/>
      <c r="D15" s="2">
        <v>118211</v>
      </c>
      <c r="E15" s="1">
        <f>152562+259</f>
        <v>152821</v>
      </c>
      <c r="F15" s="1"/>
      <c r="G15" s="1">
        <v>137227</v>
      </c>
      <c r="H15" s="2">
        <v>144700</v>
      </c>
      <c r="I15" s="2">
        <v>156074</v>
      </c>
      <c r="J15" s="2">
        <v>157381</v>
      </c>
      <c r="K15" s="2">
        <v>165933</v>
      </c>
      <c r="L15" s="106">
        <v>179917</v>
      </c>
      <c r="M15" s="117">
        <v>198299</v>
      </c>
      <c r="N15" s="117">
        <v>195308</v>
      </c>
      <c r="O15" s="117">
        <v>198352</v>
      </c>
      <c r="P15" s="117">
        <v>209134</v>
      </c>
      <c r="Q15" s="117">
        <v>217809</v>
      </c>
      <c r="R15" s="1">
        <v>217901</v>
      </c>
      <c r="S15" s="1">
        <v>231506</v>
      </c>
      <c r="T15" s="1">
        <v>279316</v>
      </c>
      <c r="U15" s="1">
        <v>299884</v>
      </c>
    </row>
    <row r="16" spans="1:21" x14ac:dyDescent="0.2">
      <c r="A16" s="26" t="s">
        <v>11</v>
      </c>
      <c r="B16" s="13"/>
      <c r="C16" s="23"/>
      <c r="D16" s="37">
        <f>147160+2</f>
        <v>147162</v>
      </c>
      <c r="E16" s="39">
        <v>145197.20000000001</v>
      </c>
      <c r="F16" s="39">
        <v>229640</v>
      </c>
      <c r="G16" s="39">
        <v>136084</v>
      </c>
      <c r="H16" s="40">
        <v>146816</v>
      </c>
      <c r="I16" s="40">
        <v>145878</v>
      </c>
      <c r="J16" s="40">
        <v>162903</v>
      </c>
      <c r="K16" s="40">
        <v>164166</v>
      </c>
      <c r="L16" s="95">
        <v>179357</v>
      </c>
      <c r="M16" s="95">
        <v>186924</v>
      </c>
      <c r="N16" s="95">
        <v>189081</v>
      </c>
      <c r="O16" s="95">
        <v>200195</v>
      </c>
      <c r="P16" s="95">
        <v>212090</v>
      </c>
      <c r="Q16" s="95">
        <v>214639</v>
      </c>
      <c r="R16" s="1">
        <v>240956</v>
      </c>
      <c r="S16" s="1">
        <v>201148</v>
      </c>
      <c r="T16" s="1">
        <v>344582</v>
      </c>
      <c r="U16" s="1">
        <v>287493</v>
      </c>
    </row>
    <row r="17" spans="1:21" x14ac:dyDescent="0.2">
      <c r="A17" s="25"/>
      <c r="B17" s="14"/>
      <c r="C17" s="14"/>
      <c r="D17" s="2">
        <f t="shared" ref="D17:J17" si="0">SUM(D5:D16)</f>
        <v>265373</v>
      </c>
      <c r="E17" s="41">
        <f t="shared" si="0"/>
        <v>1846808.9400000002</v>
      </c>
      <c r="F17" s="41">
        <f t="shared" si="0"/>
        <v>1768872.73</v>
      </c>
      <c r="G17" s="41">
        <f t="shared" si="0"/>
        <v>1781611</v>
      </c>
      <c r="H17" s="41">
        <f t="shared" si="0"/>
        <v>1765702</v>
      </c>
      <c r="I17" s="44">
        <f t="shared" si="0"/>
        <v>1796320</v>
      </c>
      <c r="J17" s="44">
        <f t="shared" si="0"/>
        <v>1928635</v>
      </c>
      <c r="K17" s="44">
        <f t="shared" ref="K17:P17" si="1">SUM(K5:K16)</f>
        <v>2057074</v>
      </c>
      <c r="L17" s="96">
        <f t="shared" si="1"/>
        <v>2148376</v>
      </c>
      <c r="M17" s="96">
        <f t="shared" si="1"/>
        <v>2270882</v>
      </c>
      <c r="N17" s="96">
        <f t="shared" si="1"/>
        <v>2367470</v>
      </c>
      <c r="O17" s="96">
        <f t="shared" si="1"/>
        <v>2467440</v>
      </c>
      <c r="P17" s="96">
        <f t="shared" si="1"/>
        <v>2503965</v>
      </c>
      <c r="Q17" s="96">
        <f t="shared" ref="Q17:T17" si="2">SUM(Q5:Q16)</f>
        <v>2619625</v>
      </c>
      <c r="R17" s="126">
        <f t="shared" ref="R17" si="3">SUM(R5:R16)</f>
        <v>2805445</v>
      </c>
      <c r="S17" s="126">
        <f t="shared" si="2"/>
        <v>3044245</v>
      </c>
      <c r="T17" s="126">
        <f t="shared" si="2"/>
        <v>3477127</v>
      </c>
      <c r="U17" s="126">
        <f t="shared" ref="U17" si="4">SUM(U5:U16)</f>
        <v>3512389</v>
      </c>
    </row>
    <row r="18" spans="1:21" x14ac:dyDescent="0.2">
      <c r="A18" s="25"/>
      <c r="D18" s="2"/>
      <c r="G18" s="1"/>
      <c r="H18" s="2"/>
      <c r="L18" s="94"/>
    </row>
    <row r="19" spans="1:21" x14ac:dyDescent="0.2">
      <c r="A19" s="25"/>
      <c r="D19" s="2"/>
      <c r="F19" s="35" t="s">
        <v>110</v>
      </c>
      <c r="G19" s="2"/>
      <c r="H19" s="2"/>
      <c r="L19" s="94"/>
    </row>
    <row r="20" spans="1:21" x14ac:dyDescent="0.2">
      <c r="D20" s="2"/>
      <c r="F20" s="35" t="s">
        <v>111</v>
      </c>
      <c r="G20" s="2"/>
      <c r="H20" s="2"/>
      <c r="L20" s="94"/>
    </row>
    <row r="21" spans="1:21" x14ac:dyDescent="0.2">
      <c r="A21" s="24" t="s">
        <v>61</v>
      </c>
      <c r="B21" s="148">
        <v>5.0000000000000001E-3</v>
      </c>
      <c r="D21" s="94" t="s">
        <v>196</v>
      </c>
      <c r="L21" s="94"/>
    </row>
    <row r="22" spans="1:21" x14ac:dyDescent="0.2">
      <c r="A22" s="25"/>
      <c r="B22" s="16">
        <v>2004</v>
      </c>
      <c r="C22" s="16">
        <v>2005</v>
      </c>
      <c r="D22" s="18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D23" s="2"/>
    </row>
    <row r="24" spans="1:21" x14ac:dyDescent="0.2">
      <c r="A24" s="26" t="s">
        <v>0</v>
      </c>
      <c r="B24" s="12"/>
      <c r="C24" s="12"/>
      <c r="D24" s="2">
        <v>0</v>
      </c>
      <c r="E24" s="1">
        <v>3329</v>
      </c>
      <c r="F24" s="1">
        <v>2402.38</v>
      </c>
      <c r="G24" s="1">
        <v>3722</v>
      </c>
      <c r="H24" s="2">
        <v>3027</v>
      </c>
      <c r="I24" s="2">
        <v>4582</v>
      </c>
      <c r="J24" s="2">
        <v>4532</v>
      </c>
      <c r="K24" s="2">
        <v>7528</v>
      </c>
      <c r="L24" s="102">
        <v>6646</v>
      </c>
      <c r="M24" s="117">
        <v>6627</v>
      </c>
      <c r="N24" s="117">
        <v>5222</v>
      </c>
      <c r="O24" s="117">
        <v>4368</v>
      </c>
      <c r="P24" s="117">
        <v>5731</v>
      </c>
      <c r="Q24" s="117">
        <v>5534</v>
      </c>
      <c r="R24" s="1">
        <v>5425</v>
      </c>
      <c r="S24" s="1">
        <v>5231</v>
      </c>
      <c r="T24" s="1">
        <v>4464</v>
      </c>
      <c r="U24" s="1">
        <v>5000</v>
      </c>
    </row>
    <row r="25" spans="1:21" x14ac:dyDescent="0.2">
      <c r="A25" s="26" t="s">
        <v>1</v>
      </c>
      <c r="B25" s="12"/>
      <c r="C25" s="12"/>
      <c r="D25" s="2">
        <v>0</v>
      </c>
      <c r="E25" s="1">
        <v>3604</v>
      </c>
      <c r="F25" s="1">
        <v>2507.77</v>
      </c>
      <c r="G25" s="1">
        <v>5874</v>
      </c>
      <c r="H25" s="2">
        <v>3357</v>
      </c>
      <c r="I25" s="2">
        <v>3386</v>
      </c>
      <c r="J25" s="2">
        <v>2820</v>
      </c>
      <c r="K25" s="2">
        <v>4044</v>
      </c>
      <c r="L25" s="102">
        <v>3594</v>
      </c>
      <c r="M25" s="117">
        <v>7732</v>
      </c>
      <c r="N25" s="117">
        <v>4125</v>
      </c>
      <c r="O25" s="117">
        <v>3243</v>
      </c>
      <c r="P25" s="117">
        <v>4519</v>
      </c>
      <c r="Q25" s="117">
        <v>7058</v>
      </c>
      <c r="R25" s="1">
        <v>5795</v>
      </c>
      <c r="S25" s="1">
        <v>3140</v>
      </c>
      <c r="T25" s="1">
        <v>6208</v>
      </c>
      <c r="U25" s="1">
        <v>3985</v>
      </c>
    </row>
    <row r="26" spans="1:21" x14ac:dyDescent="0.2">
      <c r="A26" s="26" t="s">
        <v>2</v>
      </c>
      <c r="B26" s="12"/>
      <c r="C26" s="12"/>
      <c r="D26" s="2">
        <v>0</v>
      </c>
      <c r="E26" s="1">
        <v>1519.25</v>
      </c>
      <c r="F26" s="1">
        <v>2662</v>
      </c>
      <c r="G26" s="1">
        <v>-9623</v>
      </c>
      <c r="H26" s="2">
        <v>3211</v>
      </c>
      <c r="I26" s="2">
        <v>3379</v>
      </c>
      <c r="J26" s="2">
        <v>3221</v>
      </c>
      <c r="K26" s="2">
        <v>3917</v>
      </c>
      <c r="L26" s="102">
        <v>4476</v>
      </c>
      <c r="M26" s="117">
        <v>-1130</v>
      </c>
      <c r="N26" s="117">
        <v>3057</v>
      </c>
      <c r="O26" s="117">
        <v>3229</v>
      </c>
      <c r="P26" s="117">
        <v>3050</v>
      </c>
      <c r="Q26" s="117">
        <v>3105</v>
      </c>
      <c r="R26" s="1">
        <v>2411</v>
      </c>
      <c r="S26" s="1">
        <v>3443</v>
      </c>
      <c r="T26" s="1">
        <v>2898</v>
      </c>
      <c r="U26" s="1">
        <v>5396</v>
      </c>
    </row>
    <row r="27" spans="1:21" x14ac:dyDescent="0.2">
      <c r="A27" s="26" t="s">
        <v>3</v>
      </c>
      <c r="B27" s="12"/>
      <c r="C27" s="12"/>
      <c r="D27" s="2">
        <v>0</v>
      </c>
      <c r="E27" s="1">
        <f>4427-7</f>
        <v>4420</v>
      </c>
      <c r="F27" s="1">
        <v>3360</v>
      </c>
      <c r="G27" s="1">
        <v>3833</v>
      </c>
      <c r="H27" s="2">
        <v>4178</v>
      </c>
      <c r="I27" s="2">
        <v>3967</v>
      </c>
      <c r="J27" s="2">
        <v>4004</v>
      </c>
      <c r="K27" s="2">
        <v>7120</v>
      </c>
      <c r="L27" s="102">
        <v>3882</v>
      </c>
      <c r="M27" s="117">
        <v>5813</v>
      </c>
      <c r="N27" s="117">
        <v>3874</v>
      </c>
      <c r="O27" s="117">
        <v>4450</v>
      </c>
      <c r="P27" s="117">
        <v>4162</v>
      </c>
      <c r="Q27" s="117">
        <v>5343</v>
      </c>
      <c r="R27" s="117">
        <v>3233</v>
      </c>
      <c r="S27" s="1">
        <v>3822</v>
      </c>
      <c r="T27" s="1">
        <v>6074</v>
      </c>
      <c r="U27" s="1">
        <v>3362</v>
      </c>
    </row>
    <row r="28" spans="1:21" x14ac:dyDescent="0.2">
      <c r="A28" s="26" t="s">
        <v>4</v>
      </c>
      <c r="B28" s="12"/>
      <c r="C28" s="12"/>
      <c r="D28" s="2">
        <v>0</v>
      </c>
      <c r="E28" s="1">
        <v>5963</v>
      </c>
      <c r="F28" s="1">
        <v>8910.01</v>
      </c>
      <c r="G28" s="1">
        <v>4629</v>
      </c>
      <c r="H28" s="2">
        <v>5215</v>
      </c>
      <c r="I28" s="2">
        <v>3721</v>
      </c>
      <c r="J28" s="2">
        <v>2858</v>
      </c>
      <c r="K28" s="2">
        <v>3430</v>
      </c>
      <c r="L28" s="102">
        <v>2903</v>
      </c>
      <c r="M28" s="117">
        <v>5352</v>
      </c>
      <c r="N28" s="117">
        <v>6956</v>
      </c>
      <c r="O28" s="117">
        <v>6368</v>
      </c>
      <c r="P28" s="117">
        <v>5318</v>
      </c>
      <c r="Q28" s="117">
        <v>5351</v>
      </c>
      <c r="R28" s="1">
        <v>8614</v>
      </c>
      <c r="S28" s="1">
        <v>8540</v>
      </c>
      <c r="T28" s="1">
        <v>4958</v>
      </c>
      <c r="U28" s="1">
        <v>3886</v>
      </c>
    </row>
    <row r="29" spans="1:21" x14ac:dyDescent="0.2">
      <c r="A29" s="26" t="s">
        <v>5</v>
      </c>
      <c r="B29" s="12"/>
      <c r="C29" s="12"/>
      <c r="D29" s="2">
        <v>0</v>
      </c>
      <c r="E29" s="1">
        <v>11862</v>
      </c>
      <c r="F29" s="1">
        <v>3061</v>
      </c>
      <c r="G29" s="1">
        <v>2304</v>
      </c>
      <c r="H29" s="2">
        <v>2846</v>
      </c>
      <c r="I29" s="2">
        <v>3342</v>
      </c>
      <c r="J29" s="2">
        <v>5002</v>
      </c>
      <c r="K29" s="2">
        <v>5194</v>
      </c>
      <c r="L29" s="102">
        <v>5910</v>
      </c>
      <c r="M29" s="117">
        <v>5441</v>
      </c>
      <c r="N29" s="117">
        <v>3779</v>
      </c>
      <c r="O29" s="117">
        <v>5242</v>
      </c>
      <c r="P29" s="117">
        <v>4775</v>
      </c>
      <c r="Q29" s="117">
        <v>6679</v>
      </c>
      <c r="R29" s="1">
        <v>3839</v>
      </c>
      <c r="S29" s="1">
        <v>5242</v>
      </c>
      <c r="T29" s="1">
        <v>5970</v>
      </c>
      <c r="U29" s="1">
        <v>5391</v>
      </c>
    </row>
    <row r="30" spans="1:21" x14ac:dyDescent="0.2">
      <c r="A30" s="26" t="s">
        <v>6</v>
      </c>
      <c r="B30" s="12"/>
      <c r="C30" s="12"/>
      <c r="D30" s="2">
        <v>0</v>
      </c>
      <c r="E30" s="1">
        <v>4289</v>
      </c>
      <c r="F30" s="1">
        <v>4269.29</v>
      </c>
      <c r="G30" s="1">
        <v>4024</v>
      </c>
      <c r="H30" s="2">
        <v>5950</v>
      </c>
      <c r="I30" s="2">
        <v>3968</v>
      </c>
      <c r="J30" s="2">
        <v>6302</v>
      </c>
      <c r="K30" s="2">
        <v>4301</v>
      </c>
      <c r="L30" s="102">
        <v>6009</v>
      </c>
      <c r="M30" s="117">
        <v>7523</v>
      </c>
      <c r="N30" s="117">
        <v>5751</v>
      </c>
      <c r="O30" s="117">
        <v>5668</v>
      </c>
      <c r="P30" s="117">
        <v>7097</v>
      </c>
      <c r="Q30" s="117">
        <v>4588</v>
      </c>
      <c r="R30" s="1">
        <v>4361</v>
      </c>
      <c r="S30" s="1">
        <v>7761</v>
      </c>
      <c r="T30" s="1">
        <v>5999</v>
      </c>
      <c r="U30" s="1">
        <v>20696</v>
      </c>
    </row>
    <row r="31" spans="1:21" x14ac:dyDescent="0.2">
      <c r="A31" s="26" t="s">
        <v>7</v>
      </c>
      <c r="B31" s="12"/>
      <c r="C31" s="12"/>
      <c r="D31" s="2">
        <v>0</v>
      </c>
      <c r="E31" s="1">
        <f>6069-79</f>
        <v>5990</v>
      </c>
      <c r="F31" s="1">
        <v>7616.14</v>
      </c>
      <c r="G31" s="1">
        <v>3480</v>
      </c>
      <c r="H31" s="2">
        <v>3944</v>
      </c>
      <c r="I31" s="2">
        <v>2988</v>
      </c>
      <c r="J31" s="2">
        <v>8490</v>
      </c>
      <c r="K31" s="2">
        <v>5092</v>
      </c>
      <c r="L31" s="102">
        <v>4027</v>
      </c>
      <c r="M31" s="117">
        <v>6345</v>
      </c>
      <c r="N31" s="117">
        <v>4507</v>
      </c>
      <c r="O31" s="117">
        <v>8030</v>
      </c>
      <c r="P31" s="117">
        <v>6506</v>
      </c>
      <c r="Q31" s="117">
        <v>6077</v>
      </c>
      <c r="R31" s="1">
        <v>8712</v>
      </c>
      <c r="S31" s="1">
        <v>3042</v>
      </c>
      <c r="T31" s="1">
        <v>3909</v>
      </c>
      <c r="U31" s="1">
        <v>6631</v>
      </c>
    </row>
    <row r="32" spans="1:21" x14ac:dyDescent="0.2">
      <c r="A32" s="26" t="s">
        <v>8</v>
      </c>
      <c r="B32" s="12"/>
      <c r="C32" s="12"/>
      <c r="D32" s="2">
        <v>0</v>
      </c>
      <c r="E32" s="1">
        <v>6874</v>
      </c>
      <c r="F32" s="1">
        <v>4815.1000000000004</v>
      </c>
      <c r="G32" s="1">
        <v>3062</v>
      </c>
      <c r="H32" s="2">
        <v>5658</v>
      </c>
      <c r="I32" s="2">
        <v>3816</v>
      </c>
      <c r="J32" s="2">
        <v>3841</v>
      </c>
      <c r="K32" s="2">
        <v>5991</v>
      </c>
      <c r="L32" s="102">
        <v>7820</v>
      </c>
      <c r="M32" s="117">
        <v>5767</v>
      </c>
      <c r="N32" s="117">
        <v>4367</v>
      </c>
      <c r="O32" s="117">
        <v>4882</v>
      </c>
      <c r="P32" s="117">
        <v>7819</v>
      </c>
      <c r="Q32" s="117">
        <v>5996</v>
      </c>
      <c r="R32" s="2">
        <v>4809</v>
      </c>
      <c r="S32" s="1">
        <v>3769</v>
      </c>
      <c r="T32" s="1">
        <v>4157</v>
      </c>
      <c r="U32" s="1">
        <v>4301</v>
      </c>
    </row>
    <row r="33" spans="1:21" x14ac:dyDescent="0.2">
      <c r="A33" s="26" t="s">
        <v>9</v>
      </c>
      <c r="B33" s="12"/>
      <c r="C33" s="12"/>
      <c r="D33" s="2">
        <v>1</v>
      </c>
      <c r="E33" s="1">
        <f>5428-30</f>
        <v>5398</v>
      </c>
      <c r="F33" s="1">
        <f>3194.78</f>
        <v>3194.78</v>
      </c>
      <c r="G33" s="1">
        <v>3830</v>
      </c>
      <c r="H33" s="2">
        <v>3000</v>
      </c>
      <c r="I33" s="2">
        <v>4384</v>
      </c>
      <c r="J33" s="2">
        <v>9521</v>
      </c>
      <c r="K33" s="2">
        <v>4297</v>
      </c>
      <c r="L33" s="102">
        <v>6639</v>
      </c>
      <c r="M33" s="117">
        <v>4017</v>
      </c>
      <c r="N33" s="117">
        <v>3730</v>
      </c>
      <c r="O33" s="117">
        <v>5334</v>
      </c>
      <c r="P33" s="117">
        <v>5819</v>
      </c>
      <c r="Q33" s="117">
        <v>5563</v>
      </c>
      <c r="R33" s="1">
        <v>4762</v>
      </c>
      <c r="S33" s="1">
        <v>6177</v>
      </c>
      <c r="T33" s="1">
        <v>4988</v>
      </c>
      <c r="U33" s="1">
        <v>5589</v>
      </c>
    </row>
    <row r="34" spans="1:21" x14ac:dyDescent="0.2">
      <c r="A34" s="26" t="s">
        <v>10</v>
      </c>
      <c r="B34" s="12"/>
      <c r="C34" s="12"/>
      <c r="D34" s="2">
        <v>1851</v>
      </c>
      <c r="E34" s="1">
        <f>4619-259</f>
        <v>4360</v>
      </c>
      <c r="F34" s="1"/>
      <c r="G34" s="1">
        <v>5306</v>
      </c>
      <c r="H34" s="2">
        <v>2858</v>
      </c>
      <c r="I34" s="2">
        <v>5106</v>
      </c>
      <c r="J34" s="2">
        <v>17338</v>
      </c>
      <c r="K34" s="2">
        <v>3582</v>
      </c>
      <c r="L34" s="102">
        <v>4027</v>
      </c>
      <c r="M34" s="117">
        <v>5264</v>
      </c>
      <c r="N34" s="117">
        <v>4667</v>
      </c>
      <c r="O34" s="117">
        <v>7920</v>
      </c>
      <c r="P34" s="117">
        <v>6914</v>
      </c>
      <c r="Q34" s="117">
        <v>4739</v>
      </c>
      <c r="R34" s="1">
        <v>5338</v>
      </c>
      <c r="S34" s="1">
        <v>3750</v>
      </c>
      <c r="T34" s="1">
        <v>4414</v>
      </c>
      <c r="U34" s="1">
        <v>7165</v>
      </c>
    </row>
    <row r="35" spans="1:21" x14ac:dyDescent="0.2">
      <c r="A35" s="26" t="s">
        <v>11</v>
      </c>
      <c r="B35" s="13"/>
      <c r="C35" s="23"/>
      <c r="D35" s="37">
        <v>2235</v>
      </c>
      <c r="E35" s="39">
        <v>3062.78</v>
      </c>
      <c r="F35" s="39">
        <v>5724</v>
      </c>
      <c r="G35" s="39">
        <v>2373</v>
      </c>
      <c r="H35" s="40">
        <v>3249</v>
      </c>
      <c r="I35" s="40">
        <v>3229</v>
      </c>
      <c r="J35" s="40">
        <v>6648</v>
      </c>
      <c r="K35" s="40">
        <v>8841</v>
      </c>
      <c r="L35" s="95">
        <v>4462</v>
      </c>
      <c r="M35" s="95">
        <v>3134</v>
      </c>
      <c r="N35" s="95">
        <v>4112</v>
      </c>
      <c r="O35" s="95">
        <v>7500</v>
      </c>
      <c r="P35" s="95">
        <v>6794</v>
      </c>
      <c r="Q35" s="95">
        <v>5357</v>
      </c>
      <c r="R35" s="1">
        <v>4493</v>
      </c>
      <c r="S35" s="1">
        <v>3465</v>
      </c>
      <c r="T35" s="1">
        <v>5572</v>
      </c>
      <c r="U35" s="1">
        <v>5640</v>
      </c>
    </row>
    <row r="36" spans="1:21" x14ac:dyDescent="0.2">
      <c r="A36" s="25"/>
      <c r="B36" s="14"/>
      <c r="C36" s="14"/>
      <c r="D36" s="2">
        <f t="shared" ref="D36:J36" si="5">SUM(D24:D35)</f>
        <v>4087</v>
      </c>
      <c r="E36" s="41">
        <f t="shared" si="5"/>
        <v>60671.03</v>
      </c>
      <c r="F36" s="41">
        <f t="shared" si="5"/>
        <v>48522.47</v>
      </c>
      <c r="G36" s="41">
        <f t="shared" si="5"/>
        <v>32814</v>
      </c>
      <c r="H36" s="41">
        <f t="shared" si="5"/>
        <v>46493</v>
      </c>
      <c r="I36" s="44">
        <f t="shared" si="5"/>
        <v>45868</v>
      </c>
      <c r="J36" s="44">
        <f t="shared" si="5"/>
        <v>74577</v>
      </c>
      <c r="K36" s="44">
        <f t="shared" ref="K36:P36" si="6">SUM(K24:K35)</f>
        <v>63337</v>
      </c>
      <c r="L36" s="96">
        <f t="shared" si="6"/>
        <v>60395</v>
      </c>
      <c r="M36" s="96">
        <f t="shared" si="6"/>
        <v>61885</v>
      </c>
      <c r="N36" s="96">
        <f t="shared" si="6"/>
        <v>54147</v>
      </c>
      <c r="O36" s="96">
        <f t="shared" si="6"/>
        <v>66234</v>
      </c>
      <c r="P36" s="96">
        <f t="shared" si="6"/>
        <v>68504</v>
      </c>
      <c r="Q36" s="96">
        <f t="shared" ref="Q36:T36" si="7">SUM(Q24:Q35)</f>
        <v>65390</v>
      </c>
      <c r="R36" s="126">
        <f t="shared" ref="R36" si="8">SUM(R24:R35)</f>
        <v>61792</v>
      </c>
      <c r="S36" s="126">
        <f t="shared" si="7"/>
        <v>57382</v>
      </c>
      <c r="T36" s="126">
        <f t="shared" si="7"/>
        <v>59611</v>
      </c>
      <c r="U36" s="126">
        <f t="shared" ref="U36" si="9">SUM(U24:U35)</f>
        <v>77042</v>
      </c>
    </row>
    <row r="37" spans="1:21" x14ac:dyDescent="0.2">
      <c r="D37" s="2"/>
      <c r="L37" s="94"/>
    </row>
    <row r="38" spans="1:21" x14ac:dyDescent="0.2">
      <c r="D38" s="2"/>
    </row>
    <row r="39" spans="1:21" x14ac:dyDescent="0.2">
      <c r="A39" s="29" t="s">
        <v>259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"/>
      <c r="G42" s="1">
        <v>0</v>
      </c>
      <c r="H42" s="1">
        <v>0</v>
      </c>
      <c r="I42" s="1">
        <v>0</v>
      </c>
      <c r="J42" s="1">
        <v>-37</v>
      </c>
      <c r="K42" s="1">
        <v>-461</v>
      </c>
      <c r="L42" s="1">
        <v>-18</v>
      </c>
      <c r="M42" s="1">
        <v>-1</v>
      </c>
      <c r="N42" s="1">
        <v>-1885</v>
      </c>
      <c r="O42" s="117">
        <v>0</v>
      </c>
      <c r="P42" s="117">
        <v>-140</v>
      </c>
      <c r="Q42" s="117">
        <v>-586</v>
      </c>
      <c r="R42" s="117">
        <v>0</v>
      </c>
      <c r="S42" s="117">
        <v>-24</v>
      </c>
      <c r="T42" s="1">
        <v>-43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"/>
      <c r="G43" s="1">
        <v>-1</v>
      </c>
      <c r="H43" s="1">
        <v>-1</v>
      </c>
      <c r="I43" s="1">
        <v>-1342</v>
      </c>
      <c r="J43" s="1">
        <v>-130</v>
      </c>
      <c r="K43" s="1">
        <v>-199</v>
      </c>
      <c r="L43" s="1">
        <v>-1254</v>
      </c>
      <c r="M43" s="1">
        <v>0</v>
      </c>
      <c r="N43" s="1">
        <v>-20</v>
      </c>
      <c r="O43" s="117">
        <v>-16</v>
      </c>
      <c r="P43" s="117">
        <v>-91</v>
      </c>
      <c r="Q43" s="117">
        <v>0</v>
      </c>
      <c r="R43" s="1">
        <v>-25</v>
      </c>
      <c r="S43" s="117">
        <v>-42</v>
      </c>
      <c r="T43" s="1">
        <v>-141</v>
      </c>
      <c r="U43" s="117">
        <v>-89</v>
      </c>
    </row>
    <row r="44" spans="1:21" x14ac:dyDescent="0.2">
      <c r="A44" s="26" t="s">
        <v>2</v>
      </c>
      <c r="B44" s="151"/>
      <c r="C44" s="151"/>
      <c r="D44" s="151"/>
      <c r="E44" s="151"/>
      <c r="F44" s="1"/>
      <c r="G44" s="1">
        <v>0</v>
      </c>
      <c r="H44" s="1">
        <v>-69</v>
      </c>
      <c r="I44" s="1">
        <v>0</v>
      </c>
      <c r="J44" s="1">
        <v>0</v>
      </c>
      <c r="K44" s="1">
        <v>-4</v>
      </c>
      <c r="L44" s="1">
        <v>-2</v>
      </c>
      <c r="M44" s="1">
        <v>-9</v>
      </c>
      <c r="N44" s="1">
        <v>-349</v>
      </c>
      <c r="O44" s="117">
        <v>-1</v>
      </c>
      <c r="P44" s="117">
        <v>0</v>
      </c>
      <c r="Q44" s="117">
        <v>-1</v>
      </c>
      <c r="R44" s="113">
        <v>-89</v>
      </c>
      <c r="S44" s="117">
        <v>-68</v>
      </c>
      <c r="T44" s="1">
        <v>0</v>
      </c>
      <c r="U44" s="117">
        <v>-65</v>
      </c>
    </row>
    <row r="45" spans="1:21" x14ac:dyDescent="0.2">
      <c r="A45" s="26" t="s">
        <v>3</v>
      </c>
      <c r="B45" s="151"/>
      <c r="C45" s="151"/>
      <c r="D45" s="151"/>
      <c r="E45" s="151"/>
      <c r="F45" s="1"/>
      <c r="G45" s="1">
        <v>-1089</v>
      </c>
      <c r="H45" s="1">
        <v>-195</v>
      </c>
      <c r="I45" s="1">
        <v>-305</v>
      </c>
      <c r="J45" s="1">
        <v>0</v>
      </c>
      <c r="K45" s="1">
        <v>-6</v>
      </c>
      <c r="L45" s="1">
        <v>0</v>
      </c>
      <c r="M45" s="1">
        <v>-2279</v>
      </c>
      <c r="N45" s="1">
        <v>-170</v>
      </c>
      <c r="O45" s="117">
        <v>-15</v>
      </c>
      <c r="P45" s="117">
        <v>-176</v>
      </c>
      <c r="Q45" s="117">
        <v>-108</v>
      </c>
      <c r="R45" s="117">
        <v>-10</v>
      </c>
      <c r="S45" s="1">
        <v>-9192</v>
      </c>
      <c r="T45" s="1">
        <v>-40</v>
      </c>
      <c r="U45" s="1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"/>
      <c r="G46" s="1">
        <v>-107</v>
      </c>
      <c r="H46" s="1">
        <v>0</v>
      </c>
      <c r="I46" s="1">
        <v>-1</v>
      </c>
      <c r="J46" s="1">
        <v>-41</v>
      </c>
      <c r="K46" s="1">
        <v>-5</v>
      </c>
      <c r="L46" s="1">
        <v>-17</v>
      </c>
      <c r="M46" s="1">
        <v>-260</v>
      </c>
      <c r="N46" s="1">
        <v>-11</v>
      </c>
      <c r="O46" s="117">
        <v>-4</v>
      </c>
      <c r="P46" s="117">
        <v>-451</v>
      </c>
      <c r="Q46" s="117">
        <v>-7</v>
      </c>
      <c r="R46" s="1">
        <v>-138</v>
      </c>
      <c r="S46" s="117">
        <v>-1</v>
      </c>
      <c r="T46" s="1">
        <v>-36</v>
      </c>
      <c r="U46" s="117">
        <v>-64</v>
      </c>
    </row>
    <row r="47" spans="1:21" x14ac:dyDescent="0.2">
      <c r="A47" s="26" t="s">
        <v>5</v>
      </c>
      <c r="B47" s="151"/>
      <c r="C47" s="151"/>
      <c r="D47" s="151"/>
      <c r="E47" s="151"/>
      <c r="F47" s="1"/>
      <c r="G47" s="1">
        <v>0</v>
      </c>
      <c r="H47" s="1">
        <v>-29</v>
      </c>
      <c r="I47" s="1">
        <v>-11</v>
      </c>
      <c r="J47" s="1">
        <v>0</v>
      </c>
      <c r="K47" s="1">
        <v>-3839</v>
      </c>
      <c r="L47" s="1">
        <v>0</v>
      </c>
      <c r="M47" s="1">
        <v>-30743</v>
      </c>
      <c r="N47" s="1">
        <v>-731</v>
      </c>
      <c r="O47" s="117">
        <v>0</v>
      </c>
      <c r="P47" s="117">
        <v>-48</v>
      </c>
      <c r="Q47" s="117">
        <v>-14</v>
      </c>
      <c r="R47" s="1">
        <v>-261</v>
      </c>
      <c r="S47" s="117">
        <v>0</v>
      </c>
      <c r="T47" s="1">
        <v>-906</v>
      </c>
      <c r="U47" s="117">
        <v>-13</v>
      </c>
    </row>
    <row r="48" spans="1:21" x14ac:dyDescent="0.2">
      <c r="A48" s="26" t="s">
        <v>6</v>
      </c>
      <c r="B48" s="151"/>
      <c r="C48" s="151"/>
      <c r="D48" s="151"/>
      <c r="E48" s="151"/>
      <c r="F48" s="1"/>
      <c r="G48" s="1">
        <v>0</v>
      </c>
      <c r="H48" s="1">
        <v>0</v>
      </c>
      <c r="I48" s="1">
        <v>-318</v>
      </c>
      <c r="J48" s="1">
        <v>-37</v>
      </c>
      <c r="K48" s="1">
        <v>0</v>
      </c>
      <c r="L48" s="1">
        <v>-14</v>
      </c>
      <c r="M48" s="1">
        <v>-54</v>
      </c>
      <c r="N48" s="1">
        <v>-48</v>
      </c>
      <c r="O48" s="117">
        <v>0</v>
      </c>
      <c r="P48" s="117">
        <v>0</v>
      </c>
      <c r="Q48" s="117">
        <v>-28</v>
      </c>
      <c r="R48" s="1">
        <v>-422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"/>
      <c r="G49" s="1">
        <v>0</v>
      </c>
      <c r="H49" s="1">
        <v>0</v>
      </c>
      <c r="I49" s="1">
        <v>0</v>
      </c>
      <c r="J49" s="1">
        <v>-365</v>
      </c>
      <c r="K49" s="1">
        <v>-1852</v>
      </c>
      <c r="L49" s="1">
        <v>-51</v>
      </c>
      <c r="M49" s="1">
        <v>-517</v>
      </c>
      <c r="N49" s="1">
        <v>-3</v>
      </c>
      <c r="O49" s="117">
        <v>0</v>
      </c>
      <c r="P49" s="117">
        <v>-48</v>
      </c>
      <c r="Q49" s="117">
        <v>-23</v>
      </c>
      <c r="R49" s="117">
        <v>-251</v>
      </c>
      <c r="S49" s="117">
        <v>0</v>
      </c>
      <c r="T49" s="1">
        <v>-4</v>
      </c>
      <c r="U49" s="117">
        <v>-17</v>
      </c>
    </row>
    <row r="50" spans="1:21" x14ac:dyDescent="0.2">
      <c r="A50" s="26" t="s">
        <v>8</v>
      </c>
      <c r="B50" s="151"/>
      <c r="C50" s="151"/>
      <c r="D50" s="151"/>
      <c r="E50" s="151"/>
      <c r="F50" s="1"/>
      <c r="G50" s="1">
        <v>0</v>
      </c>
      <c r="H50" s="1">
        <v>0</v>
      </c>
      <c r="I50" s="1">
        <v>-2</v>
      </c>
      <c r="J50" s="1">
        <v>-7</v>
      </c>
      <c r="K50" s="1">
        <v>0</v>
      </c>
      <c r="L50" s="1">
        <v>-4</v>
      </c>
      <c r="M50" s="1">
        <v>-2</v>
      </c>
      <c r="N50" s="1">
        <v>0</v>
      </c>
      <c r="O50" s="117">
        <v>-121</v>
      </c>
      <c r="P50" s="117">
        <v>-8</v>
      </c>
      <c r="Q50" s="117">
        <v>-2</v>
      </c>
      <c r="R50" s="117">
        <v>-189</v>
      </c>
      <c r="S50" s="117">
        <v>0</v>
      </c>
      <c r="T50" s="1">
        <v>0</v>
      </c>
      <c r="U50" s="117">
        <v>-2</v>
      </c>
    </row>
    <row r="51" spans="1:21" x14ac:dyDescent="0.2">
      <c r="A51" s="26" t="s">
        <v>9</v>
      </c>
      <c r="B51" s="151"/>
      <c r="C51" s="151"/>
      <c r="D51" s="151"/>
      <c r="E51" s="151"/>
      <c r="F51" s="1"/>
      <c r="G51" s="1">
        <v>0</v>
      </c>
      <c r="H51" s="1">
        <v>0</v>
      </c>
      <c r="I51" s="1">
        <v>-175</v>
      </c>
      <c r="J51" s="1">
        <v>-5</v>
      </c>
      <c r="K51" s="1">
        <v>-31</v>
      </c>
      <c r="L51" s="1">
        <v>-1207</v>
      </c>
      <c r="M51" s="1">
        <v>-7</v>
      </c>
      <c r="N51" s="1">
        <v>0</v>
      </c>
      <c r="O51" s="117">
        <v>0</v>
      </c>
      <c r="P51" s="117">
        <v>-134</v>
      </c>
      <c r="Q51" s="117">
        <v>0</v>
      </c>
      <c r="R51" s="117">
        <v>-34</v>
      </c>
      <c r="S51" s="117">
        <v>-1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"/>
      <c r="G52" s="1">
        <v>-1338</v>
      </c>
      <c r="H52" s="1">
        <v>-414</v>
      </c>
      <c r="I52" s="1">
        <v>-1</v>
      </c>
      <c r="J52" s="1">
        <v>-1</v>
      </c>
      <c r="K52" s="1">
        <v>-1</v>
      </c>
      <c r="L52" s="1">
        <v>-116</v>
      </c>
      <c r="M52" s="1">
        <v>0</v>
      </c>
      <c r="N52" s="1">
        <v>-1</v>
      </c>
      <c r="O52" s="117">
        <v>0</v>
      </c>
      <c r="P52" s="117">
        <v>-2</v>
      </c>
      <c r="Q52" s="117">
        <v>0</v>
      </c>
      <c r="R52" s="117">
        <v>0</v>
      </c>
      <c r="S52" s="117">
        <v>0</v>
      </c>
      <c r="T52" s="1">
        <v>-239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39">
        <v>-2594</v>
      </c>
      <c r="G53" s="39">
        <v>-19</v>
      </c>
      <c r="H53" s="39">
        <v>0</v>
      </c>
      <c r="I53" s="39">
        <v>-76</v>
      </c>
      <c r="J53" s="39">
        <v>0</v>
      </c>
      <c r="K53" s="39">
        <v>-87</v>
      </c>
      <c r="L53" s="39">
        <v>0</v>
      </c>
      <c r="M53" s="39">
        <v>-29</v>
      </c>
      <c r="N53" s="39">
        <v>0</v>
      </c>
      <c r="O53" s="39">
        <v>-101</v>
      </c>
      <c r="P53" s="39">
        <v>-412</v>
      </c>
      <c r="Q53" s="39">
        <v>0</v>
      </c>
      <c r="R53" s="1">
        <v>-256</v>
      </c>
      <c r="S53" s="53">
        <v>0</v>
      </c>
      <c r="T53" s="1">
        <v>-35</v>
      </c>
      <c r="U53" s="53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-2594</v>
      </c>
      <c r="G54" s="126">
        <f t="shared" si="10"/>
        <v>-2554</v>
      </c>
      <c r="H54" s="126">
        <f t="shared" si="10"/>
        <v>-708</v>
      </c>
      <c r="I54" s="126">
        <f t="shared" si="10"/>
        <v>-2231</v>
      </c>
      <c r="J54" s="126">
        <f t="shared" si="10"/>
        <v>-623</v>
      </c>
      <c r="K54" s="126">
        <f t="shared" si="10"/>
        <v>-6485</v>
      </c>
      <c r="L54" s="126">
        <f t="shared" si="10"/>
        <v>-2683</v>
      </c>
      <c r="M54" s="126">
        <f t="shared" si="10"/>
        <v>-33901</v>
      </c>
      <c r="N54" s="126">
        <f t="shared" si="10"/>
        <v>-3218</v>
      </c>
      <c r="O54" s="96">
        <f>SUM(O42:O53)</f>
        <v>-258</v>
      </c>
      <c r="P54" s="96">
        <f>SUM(P42:P53)</f>
        <v>-1510</v>
      </c>
      <c r="Q54" s="96">
        <f>SUM(Q42:Q53)</f>
        <v>-769</v>
      </c>
      <c r="R54" s="126">
        <f t="shared" ref="R54" si="11">SUM(R42:R53)</f>
        <v>-1675</v>
      </c>
      <c r="S54" s="126">
        <f>SUM(S42:S53)</f>
        <v>-9328</v>
      </c>
      <c r="T54" s="126">
        <f t="shared" ref="T54" si="12">SUM(T42:T53)</f>
        <v>-1444</v>
      </c>
      <c r="U54" s="126">
        <f>SUM(U42:U53)</f>
        <v>-250</v>
      </c>
    </row>
  </sheetData>
  <phoneticPr fontId="6" type="noConversion"/>
  <pageMargins left="0.44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U54"/>
  <sheetViews>
    <sheetView zoomScaleNormal="100" workbookViewId="0">
      <pane xSplit="1" topLeftCell="S1" activePane="topRight" state="frozen"/>
      <selection pane="topRight" activeCell="V5" sqref="V5"/>
    </sheetView>
  </sheetViews>
  <sheetFormatPr defaultRowHeight="12.75" x14ac:dyDescent="0.2"/>
  <cols>
    <col min="1" max="1" width="21.140625" bestFit="1" customWidth="1"/>
    <col min="2" max="2" width="6.28515625" bestFit="1" customWidth="1"/>
    <col min="3" max="3" width="5.5703125" bestFit="1" customWidth="1"/>
    <col min="4" max="4" width="6.5703125" bestFit="1" customWidth="1"/>
    <col min="5" max="6" width="11.140625" bestFit="1" customWidth="1"/>
    <col min="7" max="8" width="11.7109375" bestFit="1" customWidth="1"/>
    <col min="9" max="9" width="11.85546875" customWidth="1"/>
    <col min="10" max="10" width="11.85546875" bestFit="1" customWidth="1"/>
    <col min="11" max="11" width="11.85546875" customWidth="1"/>
    <col min="12" max="12" width="11.7109375" customWidth="1"/>
    <col min="13" max="21" width="11.7109375" bestFit="1" customWidth="1"/>
  </cols>
  <sheetData>
    <row r="1" spans="1:21" x14ac:dyDescent="0.2">
      <c r="A1" s="24"/>
    </row>
    <row r="2" spans="1:21" x14ac:dyDescent="0.2">
      <c r="A2" s="24" t="s">
        <v>66</v>
      </c>
      <c r="B2" s="149">
        <v>1.5E-3</v>
      </c>
      <c r="D2" s="94" t="s">
        <v>197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2">
        <v>1027</v>
      </c>
      <c r="F5" s="42">
        <f>2575660.29+507</f>
        <v>2576167.29</v>
      </c>
      <c r="G5" s="1">
        <v>2863101</v>
      </c>
      <c r="H5" s="2">
        <v>2611586</v>
      </c>
      <c r="I5" s="2">
        <v>2818016</v>
      </c>
      <c r="J5" s="2">
        <v>2882030</v>
      </c>
      <c r="K5" s="2">
        <v>3110533</v>
      </c>
      <c r="L5" s="102">
        <v>3208696</v>
      </c>
      <c r="M5" s="117">
        <v>3366835</v>
      </c>
      <c r="N5" s="117">
        <v>3442299</v>
      </c>
      <c r="O5" s="117">
        <v>3511135</v>
      </c>
      <c r="P5" s="117">
        <v>3306839</v>
      </c>
      <c r="Q5" s="117">
        <v>3366831</v>
      </c>
      <c r="R5" s="1">
        <v>3780962</v>
      </c>
      <c r="S5" s="1">
        <v>3403212</v>
      </c>
      <c r="T5" s="1">
        <v>3781858</v>
      </c>
      <c r="U5" s="1">
        <v>4306959</v>
      </c>
    </row>
    <row r="6" spans="1:21" x14ac:dyDescent="0.2">
      <c r="A6" s="26" t="s">
        <v>1</v>
      </c>
      <c r="B6" s="22"/>
      <c r="C6" s="22"/>
      <c r="D6" s="12"/>
      <c r="E6" s="42">
        <f>1540507+44673</f>
        <v>1585180</v>
      </c>
      <c r="F6" s="42">
        <f>2043030.33-5</f>
        <v>2043025.33</v>
      </c>
      <c r="G6" s="1">
        <v>2238664</v>
      </c>
      <c r="H6" s="2">
        <v>1885849</v>
      </c>
      <c r="I6" s="2">
        <v>2062932</v>
      </c>
      <c r="J6" s="2">
        <v>2117712</v>
      </c>
      <c r="K6" s="2">
        <v>2232224</v>
      </c>
      <c r="L6" s="2">
        <v>2407774</v>
      </c>
      <c r="M6" s="117">
        <v>2591569</v>
      </c>
      <c r="N6" s="117">
        <v>2490509</v>
      </c>
      <c r="O6" s="117">
        <v>2580829</v>
      </c>
      <c r="P6" s="117">
        <v>2741527</v>
      </c>
      <c r="Q6" s="117">
        <v>2756322</v>
      </c>
      <c r="R6" s="1">
        <v>2933600</v>
      </c>
      <c r="S6" s="1">
        <v>2564330</v>
      </c>
      <c r="T6" s="1">
        <v>3140365</v>
      </c>
      <c r="U6" s="1">
        <v>3320693</v>
      </c>
    </row>
    <row r="7" spans="1:21" x14ac:dyDescent="0.2">
      <c r="A7" s="26" t="s">
        <v>2</v>
      </c>
      <c r="B7" s="22"/>
      <c r="C7" s="22"/>
      <c r="D7" s="12"/>
      <c r="E7" s="42">
        <f>1747667+818</f>
        <v>1748485</v>
      </c>
      <c r="F7" s="42">
        <f>1960224.06+32</f>
        <v>1960256.06</v>
      </c>
      <c r="G7" s="1">
        <v>1932240</v>
      </c>
      <c r="H7" s="2">
        <v>1769727</v>
      </c>
      <c r="I7" s="2">
        <v>2060950</v>
      </c>
      <c r="J7" s="2">
        <v>2061491</v>
      </c>
      <c r="K7" s="2">
        <v>2130434</v>
      </c>
      <c r="L7" s="106">
        <v>2190258</v>
      </c>
      <c r="M7" s="117">
        <v>2365419</v>
      </c>
      <c r="N7" s="117">
        <v>2494808</v>
      </c>
      <c r="O7" s="117">
        <v>2414365</v>
      </c>
      <c r="P7" s="117">
        <v>2533649</v>
      </c>
      <c r="Q7" s="117">
        <v>2560241</v>
      </c>
      <c r="R7" s="1">
        <v>2718701</v>
      </c>
      <c r="S7" s="1">
        <v>2568246</v>
      </c>
      <c r="T7" s="1">
        <v>2982354</v>
      </c>
      <c r="U7" s="1">
        <v>3095367</v>
      </c>
    </row>
    <row r="8" spans="1:21" x14ac:dyDescent="0.2">
      <c r="A8" s="26" t="s">
        <v>3</v>
      </c>
      <c r="B8" s="22"/>
      <c r="C8" s="22"/>
      <c r="D8" s="12"/>
      <c r="E8" s="42">
        <f>2092622.95+572</f>
        <v>2093194.95</v>
      </c>
      <c r="F8" s="42">
        <f>2245402.01+20</f>
        <v>2245422.0099999998</v>
      </c>
      <c r="G8" s="1">
        <v>2070952</v>
      </c>
      <c r="H8" s="2">
        <v>2181410</v>
      </c>
      <c r="I8" s="2">
        <v>2275689</v>
      </c>
      <c r="J8" s="2">
        <v>2439039</v>
      </c>
      <c r="K8" s="2">
        <v>2475783</v>
      </c>
      <c r="L8" s="106">
        <v>2557590</v>
      </c>
      <c r="M8" s="117">
        <v>2789219</v>
      </c>
      <c r="N8" s="117">
        <v>2790886</v>
      </c>
      <c r="O8" s="117">
        <v>2885390</v>
      </c>
      <c r="P8" s="117">
        <v>2895431</v>
      </c>
      <c r="Q8" s="117">
        <v>3089242</v>
      </c>
      <c r="R8" s="1">
        <v>2766498</v>
      </c>
      <c r="S8" s="1">
        <v>3256824</v>
      </c>
      <c r="T8" s="1">
        <v>3989853</v>
      </c>
      <c r="U8" s="1">
        <v>4004639</v>
      </c>
    </row>
    <row r="9" spans="1:21" x14ac:dyDescent="0.2">
      <c r="A9" s="26" t="s">
        <v>4</v>
      </c>
      <c r="B9" s="22"/>
      <c r="C9" s="22"/>
      <c r="D9" s="12"/>
      <c r="E9" s="42">
        <f>1897068.39+626</f>
        <v>1897694.39</v>
      </c>
      <c r="F9" s="42">
        <f>2166230.33-1497</f>
        <v>2164733.33</v>
      </c>
      <c r="G9" s="1">
        <v>2033307</v>
      </c>
      <c r="H9" s="2">
        <v>2149291</v>
      </c>
      <c r="I9" s="2">
        <v>2288872</v>
      </c>
      <c r="J9" s="2">
        <v>2434009</v>
      </c>
      <c r="K9" s="2">
        <v>2458644</v>
      </c>
      <c r="L9" s="106">
        <v>2555938</v>
      </c>
      <c r="M9" s="117">
        <v>2719071</v>
      </c>
      <c r="N9" s="117">
        <v>2759000</v>
      </c>
      <c r="O9" s="117">
        <v>2735356</v>
      </c>
      <c r="P9" s="117">
        <v>2741516</v>
      </c>
      <c r="Q9" s="117">
        <v>3100999</v>
      </c>
      <c r="R9" s="1">
        <v>2243812</v>
      </c>
      <c r="S9" s="1">
        <v>2940514</v>
      </c>
      <c r="T9" s="1">
        <v>3366252</v>
      </c>
      <c r="U9" s="1">
        <v>3578561</v>
      </c>
    </row>
    <row r="10" spans="1:21" x14ac:dyDescent="0.2">
      <c r="A10" s="26" t="s">
        <v>5</v>
      </c>
      <c r="B10" s="22"/>
      <c r="C10" s="22"/>
      <c r="D10" s="12"/>
      <c r="E10" s="42">
        <f>2211007.33+328</f>
        <v>2211335.33</v>
      </c>
      <c r="F10" s="42">
        <v>2282595.5</v>
      </c>
      <c r="G10" s="1">
        <v>2133938</v>
      </c>
      <c r="H10" s="2">
        <v>2157162</v>
      </c>
      <c r="I10" s="2">
        <v>2440929</v>
      </c>
      <c r="J10" s="2">
        <v>2402751</v>
      </c>
      <c r="K10" s="2">
        <v>2685700</v>
      </c>
      <c r="L10" s="106">
        <v>2780752</v>
      </c>
      <c r="M10" s="117">
        <v>2846152</v>
      </c>
      <c r="N10" s="117">
        <v>2937106</v>
      </c>
      <c r="O10" s="117">
        <v>2941351</v>
      </c>
      <c r="P10" s="117">
        <v>3070989</v>
      </c>
      <c r="Q10" s="117">
        <v>3270675</v>
      </c>
      <c r="R10" s="1">
        <v>2474896</v>
      </c>
      <c r="S10" s="1">
        <v>3115670</v>
      </c>
      <c r="T10" s="1">
        <v>4314883</v>
      </c>
      <c r="U10" s="1">
        <v>3941526</v>
      </c>
    </row>
    <row r="11" spans="1:21" x14ac:dyDescent="0.2">
      <c r="A11" s="26" t="s">
        <v>6</v>
      </c>
      <c r="B11" s="22"/>
      <c r="C11" s="22"/>
      <c r="D11" s="12"/>
      <c r="E11" s="42">
        <f>1897285.81+720</f>
        <v>1898005.81</v>
      </c>
      <c r="F11" s="42">
        <v>2079806.38</v>
      </c>
      <c r="G11" s="1">
        <v>1822885</v>
      </c>
      <c r="H11" s="2">
        <v>2140071</v>
      </c>
      <c r="I11" s="2">
        <v>2208845</v>
      </c>
      <c r="J11" s="2">
        <v>2448042</v>
      </c>
      <c r="K11" s="2">
        <v>2574092</v>
      </c>
      <c r="L11" s="106">
        <v>2690648</v>
      </c>
      <c r="M11" s="117">
        <v>2828178</v>
      </c>
      <c r="N11" s="117">
        <v>2776221</v>
      </c>
      <c r="O11" s="117">
        <v>2827773</v>
      </c>
      <c r="P11" s="117">
        <v>2979708</v>
      </c>
      <c r="Q11" s="117">
        <v>3167856</v>
      </c>
      <c r="R11" s="1">
        <v>2754834</v>
      </c>
      <c r="S11" s="1">
        <v>3313237</v>
      </c>
      <c r="T11" s="1">
        <v>4022510</v>
      </c>
      <c r="U11" s="1">
        <v>4522857</v>
      </c>
    </row>
    <row r="12" spans="1:21" x14ac:dyDescent="0.2">
      <c r="A12" s="26" t="s">
        <v>7</v>
      </c>
      <c r="B12" s="22"/>
      <c r="C12" s="22"/>
      <c r="D12" s="12"/>
      <c r="E12" s="42">
        <f>2576517.46+334</f>
        <v>2576851.46</v>
      </c>
      <c r="F12" s="42">
        <f>2766772.06-4625</f>
        <v>2762147.06</v>
      </c>
      <c r="G12" s="1">
        <v>2480226</v>
      </c>
      <c r="H12" s="2">
        <v>2577213</v>
      </c>
      <c r="I12" s="2">
        <v>2637252</v>
      </c>
      <c r="J12" s="2">
        <v>2886192</v>
      </c>
      <c r="K12" s="2">
        <v>3095959</v>
      </c>
      <c r="L12" s="106">
        <v>3203233</v>
      </c>
      <c r="M12" s="117">
        <v>3377127</v>
      </c>
      <c r="N12" s="117">
        <v>3366771</v>
      </c>
      <c r="O12" s="117">
        <v>3337540</v>
      </c>
      <c r="P12" s="117">
        <v>3437200</v>
      </c>
      <c r="Q12" s="117">
        <v>3610243</v>
      </c>
      <c r="R12" s="1">
        <v>3124656</v>
      </c>
      <c r="S12" s="1">
        <v>3705361</v>
      </c>
      <c r="T12" s="1">
        <v>3808806</v>
      </c>
      <c r="U12" s="1">
        <v>3905781</v>
      </c>
    </row>
    <row r="13" spans="1:21" x14ac:dyDescent="0.2">
      <c r="A13" s="26" t="s">
        <v>8</v>
      </c>
      <c r="B13" s="22"/>
      <c r="C13" s="22"/>
      <c r="D13" s="12"/>
      <c r="E13" s="42">
        <f>2205495.64+72</f>
        <v>2205567.64</v>
      </c>
      <c r="F13" s="42">
        <f>2383789.11+4488</f>
        <v>2388277.11</v>
      </c>
      <c r="G13" s="1">
        <v>2071343</v>
      </c>
      <c r="H13" s="2">
        <v>2335424</v>
      </c>
      <c r="I13" s="2">
        <v>2710384</v>
      </c>
      <c r="J13" s="2">
        <v>2581544</v>
      </c>
      <c r="K13" s="2">
        <v>2756143</v>
      </c>
      <c r="L13" s="106">
        <v>2776294</v>
      </c>
      <c r="M13" s="117">
        <v>2890834</v>
      </c>
      <c r="N13" s="117">
        <v>3022764</v>
      </c>
      <c r="O13" s="117">
        <v>3094202</v>
      </c>
      <c r="P13" s="117">
        <v>3169509</v>
      </c>
      <c r="Q13" s="117">
        <v>3431471</v>
      </c>
      <c r="R13" s="2">
        <v>2908389</v>
      </c>
      <c r="S13" s="1">
        <v>3435555</v>
      </c>
      <c r="T13" s="1">
        <v>3930527</v>
      </c>
      <c r="U13" s="1">
        <v>4177664</v>
      </c>
    </row>
    <row r="14" spans="1:21" x14ac:dyDescent="0.2">
      <c r="A14" s="26" t="s">
        <v>9</v>
      </c>
      <c r="B14" s="30"/>
      <c r="C14" s="22"/>
      <c r="D14" s="12"/>
      <c r="E14" s="42">
        <f>2171379.29+198</f>
        <v>2171577.29</v>
      </c>
      <c r="F14" s="42">
        <f>2449229.86+3494+30293.64+372.1-406</f>
        <v>2482983.6</v>
      </c>
      <c r="G14" s="1">
        <v>2267187</v>
      </c>
      <c r="H14" s="2">
        <v>2485948</v>
      </c>
      <c r="I14" s="2">
        <v>2548473</v>
      </c>
      <c r="J14" s="2">
        <v>2626595</v>
      </c>
      <c r="K14" s="2">
        <v>2919213</v>
      </c>
      <c r="L14" s="106">
        <v>2815334</v>
      </c>
      <c r="M14" s="117">
        <v>2942616</v>
      </c>
      <c r="N14" s="117">
        <v>3086267</v>
      </c>
      <c r="O14" s="117">
        <v>3094909</v>
      </c>
      <c r="P14" s="117">
        <v>3218453</v>
      </c>
      <c r="Q14" s="117">
        <v>3416622</v>
      </c>
      <c r="R14" s="1">
        <v>2944502</v>
      </c>
      <c r="S14" s="1">
        <v>3540091</v>
      </c>
      <c r="T14" s="1">
        <v>3872573</v>
      </c>
      <c r="U14" s="1">
        <v>4197882</v>
      </c>
    </row>
    <row r="15" spans="1:21" x14ac:dyDescent="0.2">
      <c r="A15" s="26" t="s">
        <v>10</v>
      </c>
      <c r="B15" s="22"/>
      <c r="C15" s="22"/>
      <c r="D15" s="12"/>
      <c r="E15" s="42">
        <f>2165498.71+229444</f>
        <v>2394942.71</v>
      </c>
      <c r="F15" s="42"/>
      <c r="G15" s="1">
        <v>2040965</v>
      </c>
      <c r="H15" s="2">
        <v>2140051</v>
      </c>
      <c r="I15" s="2">
        <v>2341267</v>
      </c>
      <c r="J15" s="2">
        <v>2424498</v>
      </c>
      <c r="K15" s="2">
        <v>2688799</v>
      </c>
      <c r="L15" s="106">
        <v>2765204</v>
      </c>
      <c r="M15" s="117">
        <v>2811353</v>
      </c>
      <c r="N15" s="117">
        <v>2901386</v>
      </c>
      <c r="O15" s="117">
        <v>2899070</v>
      </c>
      <c r="P15" s="117">
        <v>3194923</v>
      </c>
      <c r="Q15" s="117">
        <v>3332984</v>
      </c>
      <c r="R15" s="1">
        <v>2886821</v>
      </c>
      <c r="S15" s="1">
        <v>3374476</v>
      </c>
      <c r="T15" s="1">
        <v>3701846</v>
      </c>
      <c r="U15" s="1">
        <v>3866028</v>
      </c>
    </row>
    <row r="16" spans="1:21" x14ac:dyDescent="0.2">
      <c r="A16" s="26" t="s">
        <v>11</v>
      </c>
      <c r="B16" s="23"/>
      <c r="C16" s="23"/>
      <c r="D16" s="23"/>
      <c r="E16" s="43">
        <f>2137386.47-12</f>
        <v>2137374.4700000002</v>
      </c>
      <c r="F16" s="43">
        <v>3849412</v>
      </c>
      <c r="G16" s="39">
        <v>1943836</v>
      </c>
      <c r="H16" s="40">
        <v>2202201</v>
      </c>
      <c r="I16" s="40">
        <v>2249639</v>
      </c>
      <c r="J16" s="40">
        <v>2331339</v>
      </c>
      <c r="K16" s="40">
        <v>2603621</v>
      </c>
      <c r="L16" s="95">
        <v>2573492</v>
      </c>
      <c r="M16" s="95">
        <v>2751674</v>
      </c>
      <c r="N16" s="95">
        <v>2765080</v>
      </c>
      <c r="O16" s="95">
        <v>2824578</v>
      </c>
      <c r="P16" s="95">
        <v>3257244</v>
      </c>
      <c r="Q16" s="95">
        <v>3063415</v>
      </c>
      <c r="R16" s="1">
        <v>2802534</v>
      </c>
      <c r="S16" s="1">
        <v>3348518</v>
      </c>
      <c r="T16" s="1">
        <v>4154073</v>
      </c>
      <c r="U16" s="1">
        <v>3824170</v>
      </c>
    </row>
    <row r="17" spans="1:21" x14ac:dyDescent="0.2">
      <c r="A17" s="25"/>
      <c r="B17" s="14"/>
      <c r="C17" s="14"/>
      <c r="D17" s="14"/>
      <c r="E17" s="44">
        <f t="shared" ref="E17:J17" si="0">SUM(E5:E16)</f>
        <v>22921236.050000001</v>
      </c>
      <c r="F17" s="44">
        <f t="shared" si="0"/>
        <v>26834825.669999998</v>
      </c>
      <c r="G17" s="41">
        <f t="shared" si="0"/>
        <v>25898644</v>
      </c>
      <c r="H17" s="41">
        <f t="shared" si="0"/>
        <v>26635933</v>
      </c>
      <c r="I17" s="44">
        <f t="shared" si="0"/>
        <v>28643248</v>
      </c>
      <c r="J17" s="44">
        <f t="shared" si="0"/>
        <v>29635242</v>
      </c>
      <c r="K17" s="44">
        <f t="shared" ref="K17:P17" si="1">SUM(K5:K16)</f>
        <v>31731145</v>
      </c>
      <c r="L17" s="96">
        <f t="shared" si="1"/>
        <v>32525213</v>
      </c>
      <c r="M17" s="96">
        <f t="shared" si="1"/>
        <v>34280047</v>
      </c>
      <c r="N17" s="96">
        <f t="shared" si="1"/>
        <v>34833097</v>
      </c>
      <c r="O17" s="96">
        <f t="shared" si="1"/>
        <v>35146498</v>
      </c>
      <c r="P17" s="96">
        <f t="shared" si="1"/>
        <v>36546988</v>
      </c>
      <c r="Q17" s="96">
        <f t="shared" ref="Q17:S17" si="2">SUM(Q5:Q16)</f>
        <v>38166901</v>
      </c>
      <c r="R17" s="126">
        <f t="shared" ref="R17" si="3">SUM(R5:R16)</f>
        <v>34340205</v>
      </c>
      <c r="S17" s="126">
        <f t="shared" si="2"/>
        <v>38566034</v>
      </c>
      <c r="T17" s="126">
        <f t="shared" ref="T17:U17" si="4">SUM(T5:T16)</f>
        <v>45065900</v>
      </c>
      <c r="U17" s="126">
        <f t="shared" si="4"/>
        <v>46742127</v>
      </c>
    </row>
    <row r="18" spans="1:21" x14ac:dyDescent="0.2">
      <c r="A18" s="25"/>
      <c r="E18" s="42"/>
      <c r="F18" s="35" t="s">
        <v>110</v>
      </c>
      <c r="H18" s="2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U18" s="177"/>
    </row>
    <row r="19" spans="1:21" x14ac:dyDescent="0.2">
      <c r="A19" s="25"/>
      <c r="E19" s="42"/>
      <c r="F19" s="35" t="s">
        <v>111</v>
      </c>
      <c r="H19" s="2"/>
      <c r="L19" s="94"/>
      <c r="P19" s="172"/>
      <c r="Q19" s="172"/>
      <c r="R19" s="172"/>
      <c r="S19" s="172"/>
      <c r="U19" s="172"/>
    </row>
    <row r="20" spans="1:21" x14ac:dyDescent="0.2">
      <c r="E20" s="42"/>
      <c r="F20" s="42"/>
      <c r="H20" s="2"/>
      <c r="L20" s="94"/>
    </row>
    <row r="21" spans="1:21" x14ac:dyDescent="0.2">
      <c r="A21" s="24" t="s">
        <v>67</v>
      </c>
      <c r="B21" s="149">
        <v>1.5E-3</v>
      </c>
      <c r="D21" s="94" t="s">
        <v>197</v>
      </c>
      <c r="E21" s="42"/>
      <c r="F21" s="42"/>
      <c r="H21" s="2"/>
      <c r="J21" s="18"/>
      <c r="K21" s="18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45">
        <v>2007</v>
      </c>
      <c r="F22" s="45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E23" s="42"/>
      <c r="F23" s="42"/>
      <c r="H23" s="2"/>
      <c r="J23" s="2"/>
      <c r="K23" s="2"/>
    </row>
    <row r="24" spans="1:21" x14ac:dyDescent="0.2">
      <c r="A24" s="26" t="s">
        <v>0</v>
      </c>
      <c r="B24" s="22"/>
      <c r="C24" s="22"/>
      <c r="D24" s="12"/>
      <c r="E24" s="42">
        <v>16</v>
      </c>
      <c r="F24" s="42">
        <f>206585.9+2</f>
        <v>206587.9</v>
      </c>
      <c r="G24" s="1">
        <v>284180</v>
      </c>
      <c r="H24" s="2">
        <v>237473</v>
      </c>
      <c r="I24" s="2">
        <v>304120</v>
      </c>
      <c r="J24" s="2">
        <v>282925</v>
      </c>
      <c r="K24" s="2">
        <v>294212</v>
      </c>
      <c r="L24" s="102">
        <v>286634</v>
      </c>
      <c r="M24" s="117">
        <v>334954</v>
      </c>
      <c r="N24" s="117">
        <v>312028</v>
      </c>
      <c r="O24" s="117">
        <v>360923</v>
      </c>
      <c r="P24" s="117">
        <v>352093</v>
      </c>
      <c r="Q24" s="117">
        <v>3152000</v>
      </c>
      <c r="R24" s="1">
        <v>410641</v>
      </c>
      <c r="S24" s="1">
        <v>244852</v>
      </c>
      <c r="T24" s="1">
        <v>232253</v>
      </c>
      <c r="U24" s="1">
        <v>294835</v>
      </c>
    </row>
    <row r="25" spans="1:21" x14ac:dyDescent="0.2">
      <c r="A25" s="26" t="s">
        <v>1</v>
      </c>
      <c r="B25" s="22"/>
      <c r="C25" s="22"/>
      <c r="D25" s="12"/>
      <c r="E25" s="42">
        <f>103724+2198</f>
        <v>105922</v>
      </c>
      <c r="F25" s="42">
        <f>187878.22+5</f>
        <v>187883.22</v>
      </c>
      <c r="G25" s="1">
        <v>189810</v>
      </c>
      <c r="H25" s="2">
        <v>219586</v>
      </c>
      <c r="I25" s="2">
        <v>169496</v>
      </c>
      <c r="J25" s="2">
        <v>289614</v>
      </c>
      <c r="K25" s="2">
        <v>213780</v>
      </c>
      <c r="L25" s="102">
        <v>260483</v>
      </c>
      <c r="M25" s="117">
        <v>232395</v>
      </c>
      <c r="N25" s="117">
        <v>273718</v>
      </c>
      <c r="O25" s="117">
        <v>174248</v>
      </c>
      <c r="P25" s="117">
        <v>262305</v>
      </c>
      <c r="Q25" s="117">
        <v>222696</v>
      </c>
      <c r="R25" s="1">
        <v>189149</v>
      </c>
      <c r="S25" s="1">
        <v>193829</v>
      </c>
      <c r="T25" s="1">
        <v>224066</v>
      </c>
      <c r="U25" s="1">
        <v>227367</v>
      </c>
    </row>
    <row r="26" spans="1:21" x14ac:dyDescent="0.2">
      <c r="A26" s="26" t="s">
        <v>2</v>
      </c>
      <c r="B26" s="22"/>
      <c r="C26" s="22"/>
      <c r="D26" s="12"/>
      <c r="E26" s="42">
        <f>110175-1622</f>
        <v>108553</v>
      </c>
      <c r="F26" s="42">
        <v>165902.85</v>
      </c>
      <c r="G26" s="1">
        <v>167521</v>
      </c>
      <c r="H26" s="2">
        <v>220552</v>
      </c>
      <c r="I26" s="2">
        <v>155027</v>
      </c>
      <c r="J26" s="2">
        <v>197072</v>
      </c>
      <c r="K26" s="2">
        <v>155365</v>
      </c>
      <c r="L26" s="102">
        <v>176787</v>
      </c>
      <c r="M26" s="117">
        <v>6543</v>
      </c>
      <c r="N26" s="117">
        <v>238644</v>
      </c>
      <c r="O26" s="117">
        <v>201307</v>
      </c>
      <c r="P26" s="117">
        <v>120556</v>
      </c>
      <c r="Q26" s="117">
        <v>189115</v>
      </c>
      <c r="R26" s="1">
        <v>186371</v>
      </c>
      <c r="S26" s="1">
        <v>176619</v>
      </c>
      <c r="T26" s="1">
        <v>258793</v>
      </c>
      <c r="U26" s="1">
        <v>47110</v>
      </c>
    </row>
    <row r="27" spans="1:21" x14ac:dyDescent="0.2">
      <c r="A27" s="26" t="s">
        <v>3</v>
      </c>
      <c r="B27" s="22"/>
      <c r="C27" s="22"/>
      <c r="D27" s="12"/>
      <c r="E27" s="42">
        <f>164698.28-377</f>
        <v>164321.28</v>
      </c>
      <c r="F27" s="42">
        <v>239239.05</v>
      </c>
      <c r="G27" s="1">
        <v>170137</v>
      </c>
      <c r="H27" s="2">
        <v>227087</v>
      </c>
      <c r="I27" s="2">
        <v>185153</v>
      </c>
      <c r="J27" s="2">
        <v>142284</v>
      </c>
      <c r="K27" s="2">
        <v>241966</v>
      </c>
      <c r="L27" s="102">
        <v>313160</v>
      </c>
      <c r="M27" s="117">
        <v>243496</v>
      </c>
      <c r="N27" s="117">
        <v>217994</v>
      </c>
      <c r="O27" s="117">
        <v>239563</v>
      </c>
      <c r="P27" s="117">
        <v>235399</v>
      </c>
      <c r="Q27" s="117">
        <v>226319</v>
      </c>
      <c r="R27" s="1">
        <v>200322</v>
      </c>
      <c r="S27" s="1">
        <v>181516</v>
      </c>
      <c r="T27" s="1">
        <v>231331</v>
      </c>
      <c r="U27" s="1">
        <v>289184</v>
      </c>
    </row>
    <row r="28" spans="1:21" x14ac:dyDescent="0.2">
      <c r="A28" s="26" t="s">
        <v>4</v>
      </c>
      <c r="B28" s="22"/>
      <c r="C28" s="22"/>
      <c r="D28" s="12"/>
      <c r="E28" s="42">
        <f>144087.74-243</f>
        <v>143844.74</v>
      </c>
      <c r="F28" s="42">
        <f>188577.58-773</f>
        <v>187804.58</v>
      </c>
      <c r="G28" s="1">
        <v>144160</v>
      </c>
      <c r="H28" s="2">
        <v>155680</v>
      </c>
      <c r="I28" s="2">
        <v>205854</v>
      </c>
      <c r="J28" s="2">
        <v>203921</v>
      </c>
      <c r="K28" s="2">
        <v>191578</v>
      </c>
      <c r="L28" s="102">
        <v>247523</v>
      </c>
      <c r="M28" s="117">
        <v>231685</v>
      </c>
      <c r="N28" s="117">
        <v>266197</v>
      </c>
      <c r="O28" s="117">
        <v>175143</v>
      </c>
      <c r="P28" s="117">
        <v>234815</v>
      </c>
      <c r="Q28" s="117">
        <v>191798</v>
      </c>
      <c r="R28" s="1">
        <v>240831</v>
      </c>
      <c r="S28" s="1">
        <v>197073</v>
      </c>
      <c r="T28" s="1">
        <v>237496</v>
      </c>
      <c r="U28" s="1">
        <v>235169</v>
      </c>
    </row>
    <row r="29" spans="1:21" x14ac:dyDescent="0.2">
      <c r="A29" s="26" t="s">
        <v>5</v>
      </c>
      <c r="B29" s="22"/>
      <c r="C29" s="22"/>
      <c r="D29" s="12"/>
      <c r="E29" s="42">
        <f>152204.92-23</f>
        <v>152181.92000000001</v>
      </c>
      <c r="F29" s="42">
        <f>160097.25+1</f>
        <v>160098.25</v>
      </c>
      <c r="G29" s="1">
        <v>206194</v>
      </c>
      <c r="H29" s="2">
        <v>149132</v>
      </c>
      <c r="I29" s="2">
        <v>207366</v>
      </c>
      <c r="J29" s="2">
        <v>220831</v>
      </c>
      <c r="K29" s="2">
        <v>187809</v>
      </c>
      <c r="L29" s="102">
        <v>208800</v>
      </c>
      <c r="M29" s="117">
        <v>227655</v>
      </c>
      <c r="N29" s="117">
        <v>147393</v>
      </c>
      <c r="O29" s="117">
        <v>188026</v>
      </c>
      <c r="P29" s="117">
        <v>236715</v>
      </c>
      <c r="Q29" s="117">
        <v>209622</v>
      </c>
      <c r="R29" s="1">
        <v>121714</v>
      </c>
      <c r="S29" s="1">
        <v>169986</v>
      </c>
      <c r="T29" s="1">
        <v>264861</v>
      </c>
      <c r="U29" s="1">
        <v>270957</v>
      </c>
    </row>
    <row r="30" spans="1:21" x14ac:dyDescent="0.2">
      <c r="A30" s="26" t="s">
        <v>6</v>
      </c>
      <c r="B30" s="22"/>
      <c r="C30" s="22"/>
      <c r="D30" s="12"/>
      <c r="E30" s="42">
        <f>130901.78-189</f>
        <v>130712.78</v>
      </c>
      <c r="F30" s="42">
        <f>156227-13</f>
        <v>156214</v>
      </c>
      <c r="G30" s="2">
        <v>130001</v>
      </c>
      <c r="H30" s="2">
        <v>153405</v>
      </c>
      <c r="I30" s="2">
        <v>202776</v>
      </c>
      <c r="J30" s="2">
        <v>223951</v>
      </c>
      <c r="K30" s="2">
        <v>213412</v>
      </c>
      <c r="L30" s="102">
        <v>209209</v>
      </c>
      <c r="M30" s="117">
        <v>240729</v>
      </c>
      <c r="N30" s="117">
        <v>213815</v>
      </c>
      <c r="O30" s="117">
        <v>264291</v>
      </c>
      <c r="P30" s="117">
        <v>228776</v>
      </c>
      <c r="Q30" s="117">
        <v>178151</v>
      </c>
      <c r="R30" s="1">
        <v>200881</v>
      </c>
      <c r="S30" s="1">
        <v>155611</v>
      </c>
      <c r="T30" s="1">
        <v>249350</v>
      </c>
      <c r="U30" s="1">
        <v>358380</v>
      </c>
    </row>
    <row r="31" spans="1:21" x14ac:dyDescent="0.2">
      <c r="A31" s="26" t="s">
        <v>7</v>
      </c>
      <c r="B31" s="22"/>
      <c r="C31" s="22"/>
      <c r="D31" s="12"/>
      <c r="E31" s="42">
        <f>173252.03-95</f>
        <v>173157.03</v>
      </c>
      <c r="F31" s="42">
        <v>213513.60000000001</v>
      </c>
      <c r="G31" s="2">
        <v>183288</v>
      </c>
      <c r="H31" s="2">
        <v>180961</v>
      </c>
      <c r="I31" s="2">
        <v>229293</v>
      </c>
      <c r="J31" s="2">
        <v>238416</v>
      </c>
      <c r="K31" s="2">
        <v>212552</v>
      </c>
      <c r="L31" s="102">
        <v>102060</v>
      </c>
      <c r="M31" s="117">
        <v>301737</v>
      </c>
      <c r="N31" s="117">
        <v>214767</v>
      </c>
      <c r="O31" s="117">
        <v>209001</v>
      </c>
      <c r="P31" s="117">
        <v>215439</v>
      </c>
      <c r="Q31" s="117">
        <v>212897</v>
      </c>
      <c r="R31" s="1">
        <v>150073</v>
      </c>
      <c r="S31" s="1">
        <v>220876</v>
      </c>
      <c r="T31" s="1">
        <v>230700</v>
      </c>
      <c r="U31" s="1">
        <v>236963</v>
      </c>
    </row>
    <row r="32" spans="1:21" x14ac:dyDescent="0.2">
      <c r="A32" s="26" t="s">
        <v>8</v>
      </c>
      <c r="B32" s="22"/>
      <c r="C32" s="22"/>
      <c r="D32" s="12"/>
      <c r="E32" s="42">
        <v>162817.98000000001</v>
      </c>
      <c r="F32" s="42">
        <f>176199.38-1228</f>
        <v>174971.38</v>
      </c>
      <c r="G32" s="2">
        <v>135109</v>
      </c>
      <c r="H32" s="2">
        <v>181393</v>
      </c>
      <c r="I32" s="2">
        <v>192901</v>
      </c>
      <c r="J32" s="2">
        <v>196567</v>
      </c>
      <c r="K32" s="2">
        <v>164752</v>
      </c>
      <c r="L32" s="102">
        <v>178581</v>
      </c>
      <c r="M32" s="117">
        <v>198613</v>
      </c>
      <c r="N32" s="117">
        <v>215497</v>
      </c>
      <c r="O32" s="117">
        <v>195314</v>
      </c>
      <c r="P32" s="117">
        <v>232131</v>
      </c>
      <c r="Q32" s="117">
        <v>218085</v>
      </c>
      <c r="R32" s="2">
        <v>182121</v>
      </c>
      <c r="S32" s="1">
        <v>215097</v>
      </c>
      <c r="T32" s="1">
        <v>205894</v>
      </c>
      <c r="U32" s="1">
        <v>241633</v>
      </c>
    </row>
    <row r="33" spans="1:21" x14ac:dyDescent="0.2">
      <c r="A33" s="26" t="s">
        <v>9</v>
      </c>
      <c r="B33" s="22"/>
      <c r="C33" s="22"/>
      <c r="D33" s="12"/>
      <c r="E33" s="42">
        <f>163161.09+7036</f>
        <v>170197.09</v>
      </c>
      <c r="F33" s="42">
        <f>186358.15-145+49648.04+25.22</f>
        <v>235886.41</v>
      </c>
      <c r="G33" s="2">
        <v>188154</v>
      </c>
      <c r="H33" s="2">
        <v>177149</v>
      </c>
      <c r="I33" s="2">
        <v>217956</v>
      </c>
      <c r="J33" s="2">
        <v>327736</v>
      </c>
      <c r="K33" s="2">
        <v>253294</v>
      </c>
      <c r="L33" s="102">
        <v>92985</v>
      </c>
      <c r="M33" s="117">
        <v>246003</v>
      </c>
      <c r="N33" s="117">
        <v>206499</v>
      </c>
      <c r="O33" s="117">
        <v>260312</v>
      </c>
      <c r="P33" s="117">
        <v>241137</v>
      </c>
      <c r="Q33" s="117">
        <v>258878</v>
      </c>
      <c r="R33" s="1">
        <v>210213</v>
      </c>
      <c r="S33" s="1">
        <v>216617</v>
      </c>
      <c r="T33" s="1">
        <v>233957</v>
      </c>
      <c r="U33" s="1">
        <v>260088</v>
      </c>
    </row>
    <row r="34" spans="1:21" x14ac:dyDescent="0.2">
      <c r="A34" s="26" t="s">
        <v>10</v>
      </c>
      <c r="B34" s="22"/>
      <c r="C34" s="22"/>
      <c r="D34" s="12"/>
      <c r="E34" s="42">
        <f>192106.06-62</f>
        <v>192044.06</v>
      </c>
      <c r="F34" s="42"/>
      <c r="G34" s="2">
        <v>165437</v>
      </c>
      <c r="H34" s="2">
        <v>167128</v>
      </c>
      <c r="I34" s="2">
        <v>191592</v>
      </c>
      <c r="J34" s="2">
        <v>197017</v>
      </c>
      <c r="K34" s="2">
        <v>194545</v>
      </c>
      <c r="L34" s="102">
        <v>273127</v>
      </c>
      <c r="M34" s="117">
        <v>215502</v>
      </c>
      <c r="N34" s="117">
        <v>227731</v>
      </c>
      <c r="O34" s="117">
        <v>236335</v>
      </c>
      <c r="P34" s="117">
        <v>219897</v>
      </c>
      <c r="Q34" s="117">
        <v>240642</v>
      </c>
      <c r="R34" s="1">
        <v>204338</v>
      </c>
      <c r="S34" s="1">
        <v>157385</v>
      </c>
      <c r="T34" s="1">
        <v>213459</v>
      </c>
      <c r="U34" s="1">
        <v>269092</v>
      </c>
    </row>
    <row r="35" spans="1:21" x14ac:dyDescent="0.2">
      <c r="A35" s="26" t="s">
        <v>11</v>
      </c>
      <c r="B35" s="23"/>
      <c r="C35" s="23"/>
      <c r="D35" s="23"/>
      <c r="E35" s="43">
        <v>148561.64000000001</v>
      </c>
      <c r="F35" s="43">
        <v>319647</v>
      </c>
      <c r="G35" s="40">
        <v>168123</v>
      </c>
      <c r="H35" s="40">
        <v>159194</v>
      </c>
      <c r="I35" s="40">
        <v>158547</v>
      </c>
      <c r="J35" s="40">
        <v>189048</v>
      </c>
      <c r="K35" s="40">
        <v>195293</v>
      </c>
      <c r="L35" s="95">
        <v>177985</v>
      </c>
      <c r="M35" s="95">
        <v>194520</v>
      </c>
      <c r="N35" s="95">
        <v>108848</v>
      </c>
      <c r="O35" s="95">
        <v>207814</v>
      </c>
      <c r="P35" s="95">
        <v>221916</v>
      </c>
      <c r="Q35" s="95">
        <v>207762</v>
      </c>
      <c r="R35" s="1">
        <v>202470</v>
      </c>
      <c r="S35" s="1">
        <v>248082</v>
      </c>
      <c r="T35" s="1">
        <v>-2368850</v>
      </c>
      <c r="U35" s="1">
        <v>248983</v>
      </c>
    </row>
    <row r="36" spans="1:21" x14ac:dyDescent="0.2">
      <c r="A36" s="25"/>
      <c r="B36" s="14"/>
      <c r="C36" s="14"/>
      <c r="D36" s="14"/>
      <c r="E36" s="44">
        <f t="shared" ref="E36:I36" si="5">SUM(E24:E35)</f>
        <v>1652329.5200000005</v>
      </c>
      <c r="F36" s="44">
        <f t="shared" si="5"/>
        <v>2247748.2400000002</v>
      </c>
      <c r="G36" s="41">
        <f t="shared" si="5"/>
        <v>2132114</v>
      </c>
      <c r="H36" s="41">
        <f t="shared" si="5"/>
        <v>2228740</v>
      </c>
      <c r="I36" s="44">
        <f t="shared" si="5"/>
        <v>2420081</v>
      </c>
      <c r="J36" s="44">
        <f>SUM(J23:J35)</f>
        <v>2709382</v>
      </c>
      <c r="K36" s="44">
        <f>SUM(K23:K35)</f>
        <v>2518558</v>
      </c>
      <c r="L36" s="96">
        <f t="shared" ref="L36:Q36" si="6">SUM(L24:L35)</f>
        <v>2527334</v>
      </c>
      <c r="M36" s="96">
        <f t="shared" si="6"/>
        <v>2673832</v>
      </c>
      <c r="N36" s="96">
        <f t="shared" si="6"/>
        <v>2643131</v>
      </c>
      <c r="O36" s="96">
        <f t="shared" si="6"/>
        <v>2712277</v>
      </c>
      <c r="P36" s="96">
        <f t="shared" si="6"/>
        <v>2801179</v>
      </c>
      <c r="Q36" s="96">
        <f t="shared" si="6"/>
        <v>5507965</v>
      </c>
      <c r="R36" s="126">
        <f t="shared" ref="R36:S36" si="7">SUM(R24:R35)</f>
        <v>2499124</v>
      </c>
      <c r="S36" s="126">
        <f t="shared" si="7"/>
        <v>2377543</v>
      </c>
      <c r="T36" s="126">
        <f t="shared" ref="T36:U36" si="8">SUM(T24:T35)</f>
        <v>213310</v>
      </c>
      <c r="U36" s="126">
        <f t="shared" si="8"/>
        <v>2979761</v>
      </c>
    </row>
    <row r="37" spans="1:21" x14ac:dyDescent="0.2">
      <c r="A37" s="25"/>
      <c r="E37" s="42"/>
      <c r="F37" s="42"/>
      <c r="H37" s="2"/>
      <c r="L37" s="94"/>
    </row>
    <row r="38" spans="1:21" x14ac:dyDescent="0.2">
      <c r="A38" s="25"/>
      <c r="E38" s="42"/>
      <c r="F38" s="42"/>
      <c r="H38" s="2"/>
    </row>
    <row r="39" spans="1:21" x14ac:dyDescent="0.2">
      <c r="A39" s="24" t="s">
        <v>272</v>
      </c>
      <c r="E39" s="42"/>
      <c r="F39" s="42"/>
    </row>
    <row r="40" spans="1:21" x14ac:dyDescent="0.2">
      <c r="A40" s="25"/>
      <c r="B40" s="17">
        <v>2004</v>
      </c>
      <c r="C40" s="17">
        <v>2005</v>
      </c>
      <c r="D40" s="16">
        <v>2006</v>
      </c>
      <c r="E40" s="45">
        <v>2007</v>
      </c>
      <c r="F40" s="45">
        <v>2008</v>
      </c>
      <c r="G40" s="16">
        <v>2009</v>
      </c>
      <c r="H40" s="16">
        <v>2010</v>
      </c>
      <c r="I40" s="16">
        <v>2011</v>
      </c>
      <c r="J40" s="16">
        <v>2012</v>
      </c>
      <c r="K40" s="16">
        <v>2013</v>
      </c>
      <c r="L40" s="16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E41" s="42"/>
      <c r="F41" s="42"/>
    </row>
    <row r="42" spans="1:21" x14ac:dyDescent="0.2">
      <c r="A42" s="26" t="s">
        <v>0</v>
      </c>
      <c r="B42" s="22"/>
      <c r="C42" s="22"/>
      <c r="D42" s="12"/>
      <c r="E42" s="42"/>
      <c r="F42" s="42"/>
      <c r="G42" s="1">
        <v>-38422</v>
      </c>
      <c r="H42" s="1">
        <v>-65800</v>
      </c>
      <c r="I42" s="1">
        <v>-9615</v>
      </c>
      <c r="J42" s="1">
        <v>-36767</v>
      </c>
      <c r="K42" s="1">
        <v>-48252</v>
      </c>
      <c r="L42" s="54">
        <v>-51733</v>
      </c>
      <c r="M42" s="117">
        <v>-122795</v>
      </c>
      <c r="N42" s="117">
        <v>-87579</v>
      </c>
      <c r="O42" s="117">
        <v>-19246</v>
      </c>
      <c r="P42" s="117">
        <v>-62617</v>
      </c>
      <c r="Q42" s="117">
        <v>-365586</v>
      </c>
      <c r="R42" s="1">
        <v>-38508</v>
      </c>
      <c r="S42" s="1">
        <v>-13420</v>
      </c>
      <c r="T42" s="1">
        <v>-79519</v>
      </c>
      <c r="U42" s="1">
        <v>-35129</v>
      </c>
    </row>
    <row r="43" spans="1:21" x14ac:dyDescent="0.2">
      <c r="A43" s="26" t="s">
        <v>1</v>
      </c>
      <c r="B43" s="22"/>
      <c r="C43" s="22"/>
      <c r="D43" s="12"/>
      <c r="E43" s="42"/>
      <c r="F43" s="42"/>
      <c r="G43" s="1">
        <v>-61888</v>
      </c>
      <c r="H43" s="1">
        <v>-34494</v>
      </c>
      <c r="I43" s="1">
        <v>-139216</v>
      </c>
      <c r="J43" s="1">
        <v>-63898</v>
      </c>
      <c r="K43" s="1">
        <v>-56023</v>
      </c>
      <c r="L43" s="54">
        <v>-63001</v>
      </c>
      <c r="M43" s="117">
        <v>-326961</v>
      </c>
      <c r="N43" s="117">
        <v>-183004</v>
      </c>
      <c r="O43" s="117">
        <v>-58406</v>
      </c>
      <c r="P43" s="117">
        <v>-54126</v>
      </c>
      <c r="Q43" s="117">
        <v>-77551</v>
      </c>
      <c r="R43" s="1">
        <v>-263634</v>
      </c>
      <c r="S43" s="1">
        <v>-120719</v>
      </c>
      <c r="T43" s="1">
        <v>-4194</v>
      </c>
      <c r="U43" s="1">
        <v>-230610</v>
      </c>
    </row>
    <row r="44" spans="1:21" x14ac:dyDescent="0.2">
      <c r="A44" s="26" t="s">
        <v>2</v>
      </c>
      <c r="B44" s="22"/>
      <c r="C44" s="22"/>
      <c r="D44" s="12"/>
      <c r="E44" s="42"/>
      <c r="F44" s="42"/>
      <c r="G44" s="1">
        <v>-131680</v>
      </c>
      <c r="H44" s="1">
        <v>-62870</v>
      </c>
      <c r="I44" s="1">
        <v>-74332</v>
      </c>
      <c r="J44" s="1">
        <v>-112975</v>
      </c>
      <c r="K44" s="1">
        <v>-41402</v>
      </c>
      <c r="L44" s="54">
        <v>-37210</v>
      </c>
      <c r="M44" s="117">
        <v>-169569</v>
      </c>
      <c r="N44" s="117">
        <v>-187902</v>
      </c>
      <c r="O44" s="117">
        <v>-170794</v>
      </c>
      <c r="P44" s="117">
        <v>-137296</v>
      </c>
      <c r="Q44" s="117">
        <v>-73041</v>
      </c>
      <c r="R44" s="1">
        <v>-129056</v>
      </c>
      <c r="S44" s="1">
        <v>-116427</v>
      </c>
      <c r="T44" s="1">
        <v>-164761</v>
      </c>
      <c r="U44" s="1">
        <v>-12046</v>
      </c>
    </row>
    <row r="45" spans="1:21" x14ac:dyDescent="0.2">
      <c r="A45" s="26" t="s">
        <v>3</v>
      </c>
      <c r="B45" s="22"/>
      <c r="C45" s="22"/>
      <c r="D45" s="12"/>
      <c r="E45" s="42"/>
      <c r="F45" s="42"/>
      <c r="G45" s="1">
        <v>-59228</v>
      </c>
      <c r="H45" s="1">
        <v>-30622</v>
      </c>
      <c r="I45" s="1">
        <v>-77303</v>
      </c>
      <c r="J45" s="1">
        <v>-22385</v>
      </c>
      <c r="K45" s="1">
        <v>-36363</v>
      </c>
      <c r="L45" s="54">
        <v>-46461</v>
      </c>
      <c r="M45" s="117">
        <v>-72810</v>
      </c>
      <c r="N45" s="117">
        <v>-84857</v>
      </c>
      <c r="O45" s="117">
        <v>-16099</v>
      </c>
      <c r="P45" s="117">
        <v>-206035</v>
      </c>
      <c r="Q45" s="117">
        <v>-120194</v>
      </c>
      <c r="R45" s="1">
        <v>-20506</v>
      </c>
      <c r="S45" s="1">
        <v>-54396</v>
      </c>
      <c r="T45" s="1">
        <v>-42265</v>
      </c>
      <c r="U45" s="1">
        <v>-18820</v>
      </c>
    </row>
    <row r="46" spans="1:21" x14ac:dyDescent="0.2">
      <c r="A46" s="26" t="s">
        <v>4</v>
      </c>
      <c r="B46" s="22"/>
      <c r="C46" s="22"/>
      <c r="D46" s="12"/>
      <c r="E46" s="42"/>
      <c r="F46" s="42"/>
      <c r="G46" s="1">
        <f>-65383+680</f>
        <v>-64703</v>
      </c>
      <c r="H46" s="1">
        <v>-132871</v>
      </c>
      <c r="I46" s="1">
        <v>-75953</v>
      </c>
      <c r="J46" s="1">
        <v>-31478</v>
      </c>
      <c r="K46" s="1">
        <v>-68658</v>
      </c>
      <c r="L46" s="54">
        <v>-73490</v>
      </c>
      <c r="M46" s="117">
        <v>-38532</v>
      </c>
      <c r="N46" s="117">
        <v>-33673</v>
      </c>
      <c r="O46" s="117">
        <v>-59921</v>
      </c>
      <c r="P46" s="117">
        <v>-158761</v>
      </c>
      <c r="Q46" s="117">
        <v>-25293</v>
      </c>
      <c r="R46" s="1">
        <v>-103109</v>
      </c>
      <c r="S46" s="1">
        <v>-365275</v>
      </c>
      <c r="T46" s="1">
        <v>-7955</v>
      </c>
      <c r="U46" s="1">
        <v>-11741</v>
      </c>
    </row>
    <row r="47" spans="1:21" x14ac:dyDescent="0.2">
      <c r="A47" s="26" t="s">
        <v>5</v>
      </c>
      <c r="B47" s="22"/>
      <c r="C47" s="22"/>
      <c r="D47" s="12"/>
      <c r="E47" s="42"/>
      <c r="F47" s="42"/>
      <c r="G47" s="1">
        <v>-46636</v>
      </c>
      <c r="H47" s="1">
        <v>-20393</v>
      </c>
      <c r="I47" s="1">
        <v>-38419</v>
      </c>
      <c r="J47" s="1">
        <v>-35819</v>
      </c>
      <c r="K47" s="1">
        <v>-92636</v>
      </c>
      <c r="L47" s="54">
        <v>-47747</v>
      </c>
      <c r="M47" s="117">
        <v>-30743</v>
      </c>
      <c r="N47" s="117">
        <v>-95625</v>
      </c>
      <c r="O47" s="117">
        <v>-219586</v>
      </c>
      <c r="P47" s="117">
        <v>-53850</v>
      </c>
      <c r="Q47" s="117">
        <v>-60440</v>
      </c>
      <c r="R47" s="1">
        <v>-30758</v>
      </c>
      <c r="S47" s="1">
        <v>-242277</v>
      </c>
      <c r="T47" s="1">
        <v>-235298</v>
      </c>
      <c r="U47" s="1">
        <v>-5811</v>
      </c>
    </row>
    <row r="48" spans="1:21" x14ac:dyDescent="0.2">
      <c r="A48" s="26" t="s">
        <v>6</v>
      </c>
      <c r="B48" s="22"/>
      <c r="C48" s="22"/>
      <c r="D48" s="12"/>
      <c r="E48" s="42"/>
      <c r="F48" s="42"/>
      <c r="G48" s="2">
        <v>-36954</v>
      </c>
      <c r="H48" s="2">
        <v>-1581</v>
      </c>
      <c r="I48" s="2">
        <v>-127423</v>
      </c>
      <c r="J48" s="1">
        <v>-109887</v>
      </c>
      <c r="K48" s="2">
        <v>-93955</v>
      </c>
      <c r="L48" s="54">
        <v>-42391</v>
      </c>
      <c r="M48" s="117">
        <v>-66459</v>
      </c>
      <c r="N48" s="117">
        <v>-64445</v>
      </c>
      <c r="O48" s="117">
        <v>-212034</v>
      </c>
      <c r="P48" s="117">
        <v>-59470</v>
      </c>
      <c r="Q48" s="117">
        <v>-36804</v>
      </c>
      <c r="R48" s="1">
        <v>-166734</v>
      </c>
      <c r="S48" s="1">
        <v>-2972</v>
      </c>
      <c r="T48" s="1">
        <v>-173401</v>
      </c>
      <c r="U48" s="1">
        <v>-167139</v>
      </c>
    </row>
    <row r="49" spans="1:21" x14ac:dyDescent="0.2">
      <c r="A49" s="26" t="s">
        <v>7</v>
      </c>
      <c r="B49" s="22"/>
      <c r="C49" s="22"/>
      <c r="D49" s="12"/>
      <c r="E49" s="42"/>
      <c r="F49" s="42"/>
      <c r="G49" s="2">
        <v>-67417</v>
      </c>
      <c r="H49" s="2">
        <v>-18378</v>
      </c>
      <c r="I49" s="2">
        <v>-40924</v>
      </c>
      <c r="J49" s="1">
        <v>-51707</v>
      </c>
      <c r="K49" s="2">
        <v>-89647</v>
      </c>
      <c r="L49" s="54">
        <v>-55721</v>
      </c>
      <c r="M49" s="117">
        <v>-97754</v>
      </c>
      <c r="N49" s="117">
        <v>-42172</v>
      </c>
      <c r="O49" s="117">
        <v>-40136</v>
      </c>
      <c r="P49" s="117">
        <v>-49979</v>
      </c>
      <c r="Q49" s="117">
        <v>-25012</v>
      </c>
      <c r="R49" s="1">
        <v>-80620</v>
      </c>
      <c r="S49" s="1">
        <v>-7190</v>
      </c>
      <c r="T49" s="1">
        <v>-3763</v>
      </c>
      <c r="U49" s="1">
        <v>-16762</v>
      </c>
    </row>
    <row r="50" spans="1:21" x14ac:dyDescent="0.2">
      <c r="A50" s="26" t="s">
        <v>8</v>
      </c>
      <c r="B50" s="22"/>
      <c r="C50" s="22"/>
      <c r="D50" s="12"/>
      <c r="E50" s="42"/>
      <c r="F50" s="42"/>
      <c r="G50" s="2">
        <f>-36854+126</f>
        <v>-36728</v>
      </c>
      <c r="H50" s="2">
        <v>-3212</v>
      </c>
      <c r="I50" s="2">
        <v>-112005</v>
      </c>
      <c r="J50" s="1">
        <v>-110646</v>
      </c>
      <c r="K50" s="2">
        <v>-42524</v>
      </c>
      <c r="L50" s="54">
        <v>-46522</v>
      </c>
      <c r="M50" s="117">
        <v>-45418</v>
      </c>
      <c r="N50" s="117">
        <v>-72703</v>
      </c>
      <c r="O50" s="117">
        <v>-44081</v>
      </c>
      <c r="P50" s="117">
        <v>-223069</v>
      </c>
      <c r="Q50" s="117">
        <v>-22700</v>
      </c>
      <c r="R50" s="2">
        <v>-14682</v>
      </c>
      <c r="S50" s="1">
        <v>-156430</v>
      </c>
      <c r="T50" s="1">
        <v>-40720</v>
      </c>
      <c r="U50" s="1">
        <v>-81492</v>
      </c>
    </row>
    <row r="51" spans="1:21" x14ac:dyDescent="0.2">
      <c r="A51" s="26" t="s">
        <v>9</v>
      </c>
      <c r="B51" s="22"/>
      <c r="C51" s="22"/>
      <c r="D51" s="12"/>
      <c r="E51" s="42"/>
      <c r="F51" s="42"/>
      <c r="G51" s="2">
        <v>-42523</v>
      </c>
      <c r="H51" s="2">
        <v>-4640</v>
      </c>
      <c r="I51" s="2">
        <v>-62107</v>
      </c>
      <c r="J51" s="1">
        <v>-53667</v>
      </c>
      <c r="K51" s="2">
        <v>-97376</v>
      </c>
      <c r="L51" s="54">
        <v>-154658</v>
      </c>
      <c r="M51" s="117">
        <v>-32322</v>
      </c>
      <c r="N51" s="117">
        <v>-70129</v>
      </c>
      <c r="O51" s="117">
        <v>-36891</v>
      </c>
      <c r="P51" s="117">
        <v>-82830</v>
      </c>
      <c r="Q51" s="117">
        <v>-131044</v>
      </c>
      <c r="R51" s="1">
        <v>-27332</v>
      </c>
      <c r="S51" s="1">
        <v>-76900</v>
      </c>
      <c r="T51" s="1">
        <v>-240928</v>
      </c>
      <c r="U51" s="1">
        <v>-260158</v>
      </c>
    </row>
    <row r="52" spans="1:21" x14ac:dyDescent="0.2">
      <c r="A52" s="26" t="s">
        <v>10</v>
      </c>
      <c r="B52" s="22"/>
      <c r="C52" s="22"/>
      <c r="D52" s="12"/>
      <c r="E52" s="42"/>
      <c r="F52" s="42"/>
      <c r="G52" s="2">
        <v>-45391</v>
      </c>
      <c r="H52" s="2">
        <v>-300647</v>
      </c>
      <c r="I52" s="2">
        <v>-104741</v>
      </c>
      <c r="J52" s="1">
        <v>-88767</v>
      </c>
      <c r="K52" s="2">
        <v>-47928</v>
      </c>
      <c r="L52" s="54">
        <v>-70645</v>
      </c>
      <c r="M52" s="117">
        <v>-47559</v>
      </c>
      <c r="N52" s="117">
        <v>-25641</v>
      </c>
      <c r="O52" s="117">
        <v>-32255</v>
      </c>
      <c r="P52" s="117">
        <v>-104436</v>
      </c>
      <c r="Q52" s="117">
        <v>-126824</v>
      </c>
      <c r="R52" s="1">
        <v>-48324</v>
      </c>
      <c r="S52" s="1">
        <v>-39353</v>
      </c>
      <c r="T52" s="1">
        <v>-44843</v>
      </c>
      <c r="U52" s="1">
        <v>-66956</v>
      </c>
    </row>
    <row r="53" spans="1:21" x14ac:dyDescent="0.2">
      <c r="A53" s="26" t="s">
        <v>11</v>
      </c>
      <c r="B53" s="23"/>
      <c r="C53" s="23"/>
      <c r="D53" s="23"/>
      <c r="E53" s="43"/>
      <c r="F53" s="40">
        <v>-9518</v>
      </c>
      <c r="G53" s="40">
        <f>-42284+8</f>
        <v>-42276</v>
      </c>
      <c r="H53" s="40">
        <v>-11664</v>
      </c>
      <c r="I53" s="40">
        <v>-107479</v>
      </c>
      <c r="J53" s="39">
        <v>-40383</v>
      </c>
      <c r="K53" s="40">
        <v>-86220</v>
      </c>
      <c r="L53" s="61">
        <v>-102581</v>
      </c>
      <c r="M53" s="95">
        <v>-134017</v>
      </c>
      <c r="N53" s="95">
        <v>-84377</v>
      </c>
      <c r="O53" s="95">
        <v>-57590</v>
      </c>
      <c r="P53" s="95">
        <v>-2815</v>
      </c>
      <c r="Q53" s="95">
        <v>-12206</v>
      </c>
      <c r="R53" s="1">
        <v>-9258</v>
      </c>
      <c r="S53" s="1">
        <v>-43714</v>
      </c>
      <c r="T53" s="1">
        <v>-65593</v>
      </c>
      <c r="U53" s="1">
        <v>-267402</v>
      </c>
    </row>
    <row r="54" spans="1:21" x14ac:dyDescent="0.2">
      <c r="A54" s="25"/>
      <c r="B54" s="14"/>
      <c r="C54" s="14"/>
      <c r="D54" s="14"/>
      <c r="E54" s="44"/>
      <c r="F54" s="41">
        <f t="shared" ref="F54:M54" si="9">SUM(F42:F53)</f>
        <v>-9518</v>
      </c>
      <c r="G54" s="41">
        <f t="shared" si="9"/>
        <v>-673846</v>
      </c>
      <c r="H54" s="41">
        <f t="shared" si="9"/>
        <v>-687172</v>
      </c>
      <c r="I54" s="41">
        <f t="shared" si="9"/>
        <v>-969517</v>
      </c>
      <c r="J54" s="2">
        <f t="shared" si="9"/>
        <v>-758379</v>
      </c>
      <c r="K54" s="41">
        <f t="shared" si="9"/>
        <v>-800984</v>
      </c>
      <c r="L54" s="41">
        <f t="shared" si="9"/>
        <v>-792160</v>
      </c>
      <c r="M54" s="96">
        <f t="shared" si="9"/>
        <v>-1184939</v>
      </c>
      <c r="N54" s="96">
        <f t="shared" ref="N54" si="10">SUM(N42:N53)</f>
        <v>-1032107</v>
      </c>
      <c r="O54" s="96">
        <f>SUM(O42:O53)</f>
        <v>-967039</v>
      </c>
      <c r="P54" s="96">
        <f>SUM(P42:P53)</f>
        <v>-1195284</v>
      </c>
      <c r="Q54" s="96">
        <f>SUM(Q42:Q53)</f>
        <v>-1076695</v>
      </c>
      <c r="R54" s="126">
        <f t="shared" ref="R54" si="11">SUM(R42:R53)</f>
        <v>-932521</v>
      </c>
      <c r="S54" s="126">
        <f>SUM(S42:S53)</f>
        <v>-1239073</v>
      </c>
      <c r="T54" s="126">
        <f t="shared" ref="T54" si="12">SUM(T42:T53)</f>
        <v>-1103240</v>
      </c>
      <c r="U54" s="126">
        <f>SUM(U42:U53)</f>
        <v>-1174066</v>
      </c>
    </row>
  </sheetData>
  <phoneticPr fontId="4" type="noConversion"/>
  <pageMargins left="0.2" right="0.2" top="0.82" bottom="0.71" header="0.26" footer="0.35"/>
  <pageSetup scale="75" orientation="landscape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80"/>
  <sheetViews>
    <sheetView workbookViewId="0">
      <pane xSplit="1" topLeftCell="S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1.7109375" bestFit="1" customWidth="1"/>
    <col min="16" max="21" width="12.7109375" bestFit="1" customWidth="1"/>
  </cols>
  <sheetData>
    <row r="1" spans="1:21" x14ac:dyDescent="0.2">
      <c r="A1" s="121" t="s">
        <v>288</v>
      </c>
    </row>
    <row r="2" spans="1:21" x14ac:dyDescent="0.2">
      <c r="A2" s="24" t="s">
        <v>84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11038915</v>
      </c>
      <c r="Q5" s="117">
        <v>11719388</v>
      </c>
      <c r="R5" s="1">
        <v>12700251</v>
      </c>
      <c r="S5" s="1">
        <v>11422441</v>
      </c>
      <c r="T5" s="1">
        <v>12689583</v>
      </c>
      <c r="U5" s="1">
        <v>14463639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9100494</v>
      </c>
      <c r="Q6" s="117">
        <v>9184930</v>
      </c>
      <c r="R6" s="1">
        <v>9650888</v>
      </c>
      <c r="S6" s="1">
        <v>8757470</v>
      </c>
      <c r="T6" s="1">
        <v>10518870</v>
      </c>
      <c r="U6" s="1">
        <v>11051722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8463856</v>
      </c>
      <c r="Q7" s="117">
        <v>8519905</v>
      </c>
      <c r="R7" s="1">
        <v>8953006</v>
      </c>
      <c r="S7" s="1">
        <v>8749650</v>
      </c>
      <c r="T7" s="1">
        <v>9969369</v>
      </c>
      <c r="U7" s="1">
        <v>10348463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9650976</v>
      </c>
      <c r="Q8" s="117">
        <v>10259545</v>
      </c>
      <c r="R8" s="1">
        <v>9235581</v>
      </c>
      <c r="S8" s="1">
        <v>10925953</v>
      </c>
      <c r="T8" s="1">
        <v>13373851</v>
      </c>
      <c r="U8" s="1">
        <v>13374668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9119441</v>
      </c>
      <c r="Q9" s="117">
        <v>10356236</v>
      </c>
      <c r="R9" s="1">
        <v>7477996</v>
      </c>
      <c r="S9" s="1">
        <v>10028866</v>
      </c>
      <c r="T9" s="1">
        <v>11277958</v>
      </c>
      <c r="U9" s="1">
        <v>11966412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10282415</v>
      </c>
      <c r="Q10" s="117">
        <v>10971202</v>
      </c>
      <c r="R10" s="1">
        <v>8368382</v>
      </c>
      <c r="S10" s="1">
        <v>10730089</v>
      </c>
      <c r="T10" s="1">
        <v>14413659</v>
      </c>
      <c r="U10" s="1">
        <v>13334827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9919660</v>
      </c>
      <c r="Q11" s="117">
        <v>10601873</v>
      </c>
      <c r="R11" s="1">
        <v>9192410</v>
      </c>
      <c r="S11" s="1">
        <v>11305508</v>
      </c>
      <c r="T11" s="1">
        <v>13582601</v>
      </c>
      <c r="U11" s="1">
        <v>15133499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30</v>
      </c>
      <c r="P12" s="117">
        <v>11535255</v>
      </c>
      <c r="Q12" s="117">
        <v>12092266</v>
      </c>
      <c r="R12" s="1">
        <v>10452615</v>
      </c>
      <c r="S12" s="1">
        <v>12718280</v>
      </c>
      <c r="T12" s="1">
        <v>12754499</v>
      </c>
      <c r="U12" s="1">
        <v>12692096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5</v>
      </c>
      <c r="P13" s="117">
        <v>10775752</v>
      </c>
      <c r="Q13" s="117">
        <v>11336602</v>
      </c>
      <c r="R13" s="2">
        <v>9751122</v>
      </c>
      <c r="S13" s="1">
        <v>11528352</v>
      </c>
      <c r="T13" s="1">
        <v>13154850</v>
      </c>
      <c r="U13" s="1">
        <v>13545237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11260</v>
      </c>
      <c r="P14" s="117">
        <v>10791721</v>
      </c>
      <c r="Q14" s="117">
        <v>11457922</v>
      </c>
      <c r="R14" s="1">
        <v>9870778</v>
      </c>
      <c r="S14" s="1">
        <v>12052676</v>
      </c>
      <c r="T14" s="1">
        <v>12972148</v>
      </c>
      <c r="U14" s="1">
        <v>13684098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9274024</v>
      </c>
      <c r="P15" s="117">
        <v>10543463</v>
      </c>
      <c r="Q15" s="117">
        <v>11075750</v>
      </c>
      <c r="R15" s="1">
        <v>9487383</v>
      </c>
      <c r="S15" s="1">
        <v>11280041</v>
      </c>
      <c r="T15" s="1">
        <v>12406769</v>
      </c>
      <c r="U15" s="1">
        <v>12358071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9432530</v>
      </c>
      <c r="P16" s="95">
        <v>10381498</v>
      </c>
      <c r="Q16" s="95">
        <v>10262279</v>
      </c>
      <c r="R16" s="1">
        <v>9363992</v>
      </c>
      <c r="S16" s="1">
        <v>11376017</v>
      </c>
      <c r="T16" s="1">
        <v>13964557</v>
      </c>
      <c r="U16" s="1">
        <v>12581959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18717849</v>
      </c>
      <c r="P17" s="96">
        <f>SUM(P5:P16)</f>
        <v>121603446</v>
      </c>
      <c r="Q17" s="96">
        <f>SUM(Q5:Q16)</f>
        <v>127837898</v>
      </c>
      <c r="R17" s="126">
        <f t="shared" ref="R17" si="0">SUM(R5:R16)</f>
        <v>114504404</v>
      </c>
      <c r="S17" s="126">
        <f>SUM(S5:S16)</f>
        <v>130875343</v>
      </c>
      <c r="T17" s="126">
        <f t="shared" ref="T17" si="1">SUM(T5:T16)</f>
        <v>151078714</v>
      </c>
      <c r="U17" s="126">
        <f>SUM(U5:U16)</f>
        <v>154534691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946683</v>
      </c>
      <c r="Q24" s="117">
        <v>908499</v>
      </c>
      <c r="R24" s="1">
        <v>1020607</v>
      </c>
      <c r="S24" s="1">
        <v>748000</v>
      </c>
      <c r="T24" s="1">
        <v>699125</v>
      </c>
      <c r="U24" s="1">
        <v>983945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742284</v>
      </c>
      <c r="Q25" s="117">
        <v>711498</v>
      </c>
      <c r="R25" s="1">
        <v>669462</v>
      </c>
      <c r="S25" s="1">
        <v>570822</v>
      </c>
      <c r="T25" s="1">
        <v>748670</v>
      </c>
      <c r="U25" s="1">
        <v>744124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710557</v>
      </c>
      <c r="Q26" s="117">
        <v>550587</v>
      </c>
      <c r="R26" s="1">
        <v>552167</v>
      </c>
      <c r="S26" s="1">
        <v>443590</v>
      </c>
      <c r="T26" s="1">
        <v>831620</v>
      </c>
      <c r="U26" s="1">
        <v>763730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667996</v>
      </c>
      <c r="Q27" s="117">
        <v>700411</v>
      </c>
      <c r="R27" s="1">
        <v>638516</v>
      </c>
      <c r="S27" s="1">
        <v>621356</v>
      </c>
      <c r="T27" s="1">
        <v>729285</v>
      </c>
      <c r="U27" s="1">
        <v>884517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508669</v>
      </c>
      <c r="Q28" s="117">
        <v>576188</v>
      </c>
      <c r="R28" s="1">
        <v>498902</v>
      </c>
      <c r="S28" s="1">
        <v>565096</v>
      </c>
      <c r="T28" s="1">
        <v>770132</v>
      </c>
      <c r="U28" s="1">
        <v>734975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724911</v>
      </c>
      <c r="Q29" s="117">
        <v>631969</v>
      </c>
      <c r="R29" s="1">
        <v>373286</v>
      </c>
      <c r="S29" s="1">
        <v>543593</v>
      </c>
      <c r="T29" s="1">
        <v>824978</v>
      </c>
      <c r="U29" s="1">
        <v>870317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695589</v>
      </c>
      <c r="Q30" s="117">
        <v>659221</v>
      </c>
      <c r="R30" s="1">
        <v>583448</v>
      </c>
      <c r="S30" s="1">
        <v>466195</v>
      </c>
      <c r="T30" s="1">
        <v>790880</v>
      </c>
      <c r="U30" s="1">
        <v>1119298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0</v>
      </c>
      <c r="P31" s="117">
        <v>659666</v>
      </c>
      <c r="Q31" s="117">
        <v>709340</v>
      </c>
      <c r="R31" s="1">
        <v>553483</v>
      </c>
      <c r="S31" s="1">
        <v>674271</v>
      </c>
      <c r="T31" s="1">
        <v>724354</v>
      </c>
      <c r="U31" s="1">
        <v>750482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5</v>
      </c>
      <c r="P32" s="117">
        <v>700491</v>
      </c>
      <c r="Q32" s="117">
        <v>673940</v>
      </c>
      <c r="R32" s="2">
        <v>488227</v>
      </c>
      <c r="S32" s="1">
        <v>684646</v>
      </c>
      <c r="T32" s="1">
        <v>688180</v>
      </c>
      <c r="U32" s="1">
        <v>772208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2302</v>
      </c>
      <c r="P33" s="117">
        <v>691448</v>
      </c>
      <c r="Q33" s="117">
        <v>831788</v>
      </c>
      <c r="R33" s="1">
        <v>653420</v>
      </c>
      <c r="S33" s="1">
        <v>678741</v>
      </c>
      <c r="T33" s="1">
        <v>732476</v>
      </c>
      <c r="U33" s="1">
        <v>811814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665687</v>
      </c>
      <c r="P34" s="117">
        <v>759421</v>
      </c>
      <c r="Q34" s="117">
        <v>742080</v>
      </c>
      <c r="R34" s="1">
        <v>695072</v>
      </c>
      <c r="S34" s="1">
        <v>531011</v>
      </c>
      <c r="T34" s="1">
        <v>685718</v>
      </c>
      <c r="U34" s="1">
        <v>838593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597098</v>
      </c>
      <c r="P35" s="95">
        <v>648431</v>
      </c>
      <c r="Q35" s="95">
        <v>596217</v>
      </c>
      <c r="R35" s="1">
        <v>594802</v>
      </c>
      <c r="S35" s="1">
        <v>799512</v>
      </c>
      <c r="T35" s="1">
        <v>1372879</v>
      </c>
      <c r="U35" s="1">
        <v>755685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1265092</v>
      </c>
      <c r="P36" s="96">
        <f>SUM(P24:P35)</f>
        <v>8456146</v>
      </c>
      <c r="Q36" s="96">
        <f>SUM(Q24:Q35)</f>
        <v>8291738</v>
      </c>
      <c r="R36" s="126">
        <f t="shared" ref="R36" si="2">SUM(R24:R35)</f>
        <v>7321392</v>
      </c>
      <c r="S36" s="126">
        <f>SUM(S24:S35)</f>
        <v>7326833</v>
      </c>
      <c r="T36" s="126">
        <f t="shared" ref="T36" si="3">SUM(T24:T35)</f>
        <v>9598297</v>
      </c>
      <c r="U36" s="126">
        <f>SUM(U24:U35)</f>
        <v>10029688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-734</v>
      </c>
      <c r="Q42" s="117">
        <v>-8967</v>
      </c>
      <c r="R42" s="1">
        <v>-102311</v>
      </c>
      <c r="S42" s="1">
        <v>-37984</v>
      </c>
      <c r="T42" s="1">
        <v>-86839</v>
      </c>
      <c r="U42" s="1">
        <v>-129367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-379</v>
      </c>
      <c r="Q43" s="117">
        <v>-14541</v>
      </c>
      <c r="R43" s="1">
        <v>-247803</v>
      </c>
      <c r="S43" s="1">
        <v>-313112</v>
      </c>
      <c r="T43" s="1">
        <v>-14474</v>
      </c>
      <c r="U43" s="1">
        <v>-667832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-261</v>
      </c>
      <c r="Q44" s="117">
        <v>-136432</v>
      </c>
      <c r="R44" s="1">
        <v>-53671</v>
      </c>
      <c r="S44" s="1">
        <v>-33126</v>
      </c>
      <c r="T44" s="1">
        <v>-445275</v>
      </c>
      <c r="U44" s="1">
        <v>-40658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-326</v>
      </c>
      <c r="Q45" s="117">
        <v>-11096</v>
      </c>
      <c r="R45" s="1">
        <v>-47084</v>
      </c>
      <c r="S45" s="1">
        <v>-56537</v>
      </c>
      <c r="T45" s="1">
        <v>-110965</v>
      </c>
      <c r="U45" s="1">
        <v>-58939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-3863</v>
      </c>
      <c r="Q46" s="117">
        <v>-41020</v>
      </c>
      <c r="R46" s="1">
        <v>-248411</v>
      </c>
      <c r="S46" s="1">
        <v>-92500</v>
      </c>
      <c r="T46" s="1">
        <v>-13900</v>
      </c>
      <c r="U46" s="1">
        <v>-21195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-780</v>
      </c>
      <c r="Q47" s="117">
        <v>-95839</v>
      </c>
      <c r="R47" s="1">
        <v>-37586</v>
      </c>
      <c r="S47" s="1">
        <v>-422387</v>
      </c>
      <c r="T47" s="1">
        <v>-97866</v>
      </c>
      <c r="U47" s="1">
        <v>-21766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-2193</v>
      </c>
      <c r="Q48" s="117">
        <v>-18138</v>
      </c>
      <c r="R48" s="1">
        <v>-143716</v>
      </c>
      <c r="S48" s="1">
        <v>-12525</v>
      </c>
      <c r="T48" s="1">
        <v>-558614</v>
      </c>
      <c r="U48" s="1">
        <v>-556056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-1774</v>
      </c>
      <c r="Q49" s="117">
        <v>-20226</v>
      </c>
      <c r="R49" s="1">
        <v>-195018</v>
      </c>
      <c r="S49" s="1">
        <v>-15257</v>
      </c>
      <c r="T49" s="1">
        <v>-12417</v>
      </c>
      <c r="U49" s="1">
        <v>-49506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-20558</v>
      </c>
      <c r="Q50" s="117">
        <v>-78173</v>
      </c>
      <c r="R50" s="2">
        <v>-21325</v>
      </c>
      <c r="S50" s="1">
        <v>-150686</v>
      </c>
      <c r="T50" s="1">
        <v>-138377</v>
      </c>
      <c r="U50" s="1">
        <v>-279451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-15256</v>
      </c>
      <c r="Q51" s="117">
        <v>-177247</v>
      </c>
      <c r="R51" s="1">
        <v>-67582</v>
      </c>
      <c r="S51" s="1">
        <v>-212015</v>
      </c>
      <c r="T51" s="1">
        <v>-188152</v>
      </c>
      <c r="U51" s="1">
        <v>-830919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-103</v>
      </c>
      <c r="P52" s="117">
        <v>-2347</v>
      </c>
      <c r="Q52" s="117">
        <v>-70471</v>
      </c>
      <c r="R52" s="1">
        <v>-135372</v>
      </c>
      <c r="S52" s="1">
        <v>-111582</v>
      </c>
      <c r="T52" s="1">
        <v>-136233</v>
      </c>
      <c r="U52" s="1">
        <v>-223184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-76</v>
      </c>
      <c r="P53" s="95">
        <v>-1574</v>
      </c>
      <c r="Q53" s="95">
        <v>-25017</v>
      </c>
      <c r="R53" s="1">
        <v>-27613</v>
      </c>
      <c r="S53" s="1">
        <v>-105827</v>
      </c>
      <c r="T53" s="1">
        <v>-193169</v>
      </c>
      <c r="U53" s="1">
        <v>-847807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-179</v>
      </c>
      <c r="P54" s="96">
        <f>SUM(P42:P53)</f>
        <v>-50045</v>
      </c>
      <c r="Q54" s="96">
        <f>SUM(Q42:Q53)</f>
        <v>-697167</v>
      </c>
      <c r="R54" s="126">
        <f t="shared" ref="R54" si="4">SUM(R42:R53)</f>
        <v>-1327492</v>
      </c>
      <c r="S54" s="126">
        <f>SUM(S42:S53)</f>
        <v>-1563538</v>
      </c>
      <c r="T54" s="126">
        <f t="shared" ref="T54" si="5">SUM(T42:T53)</f>
        <v>-1996281</v>
      </c>
      <c r="U54" s="126">
        <f>SUM(U42:U53)</f>
        <v>-3726680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223080</v>
      </c>
      <c r="Q60" s="117">
        <v>214580</v>
      </c>
      <c r="R60" s="1">
        <v>220300</v>
      </c>
      <c r="S60" s="1">
        <v>206380</v>
      </c>
      <c r="T60" s="1">
        <v>198320</v>
      </c>
      <c r="U60" s="1">
        <v>204320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187860</v>
      </c>
      <c r="Q61" s="117">
        <v>176000</v>
      </c>
      <c r="R61" s="113">
        <v>200140</v>
      </c>
      <c r="S61" s="1">
        <v>180260</v>
      </c>
      <c r="T61" s="1">
        <v>166440</v>
      </c>
      <c r="U61" s="1">
        <v>215520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167040</v>
      </c>
      <c r="Q62" s="117">
        <v>175540</v>
      </c>
      <c r="R62" s="113">
        <v>193900</v>
      </c>
      <c r="S62" s="1">
        <v>187680</v>
      </c>
      <c r="T62" s="1">
        <v>175780</v>
      </c>
      <c r="U62" s="1">
        <v>174100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251120</v>
      </c>
      <c r="Q63" s="117">
        <v>256580</v>
      </c>
      <c r="R63" s="1">
        <v>180020</v>
      </c>
      <c r="S63" s="1">
        <v>281440</v>
      </c>
      <c r="T63" s="1">
        <v>236700</v>
      </c>
      <c r="U63" s="1">
        <v>223900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204040</v>
      </c>
      <c r="Q64" s="117">
        <v>241700</v>
      </c>
      <c r="R64" s="117">
        <v>140540</v>
      </c>
      <c r="S64" s="1">
        <v>238340</v>
      </c>
      <c r="T64" s="1">
        <v>202920</v>
      </c>
      <c r="U64" s="1">
        <v>219520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251660</v>
      </c>
      <c r="Q65" s="117">
        <v>231860</v>
      </c>
      <c r="R65" s="113">
        <v>223440</v>
      </c>
      <c r="S65" s="1">
        <v>229140</v>
      </c>
      <c r="T65" s="1">
        <v>235380</v>
      </c>
      <c r="U65" s="1">
        <v>249560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212860</v>
      </c>
      <c r="Q66" s="117">
        <v>219540</v>
      </c>
      <c r="R66" s="1">
        <v>256820</v>
      </c>
      <c r="S66" s="1">
        <v>212920</v>
      </c>
      <c r="T66" s="1">
        <v>225060</v>
      </c>
      <c r="U66" s="1">
        <v>238040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>
        <v>0</v>
      </c>
      <c r="P67" s="117">
        <v>253680</v>
      </c>
      <c r="Q67" s="117">
        <v>258880</v>
      </c>
      <c r="R67" s="1">
        <v>266420</v>
      </c>
      <c r="S67" s="1">
        <v>254820</v>
      </c>
      <c r="T67" s="1">
        <v>201080</v>
      </c>
      <c r="U67" s="1">
        <v>218760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>
        <v>0</v>
      </c>
      <c r="P68" s="117">
        <v>242700</v>
      </c>
      <c r="Q68" s="117">
        <v>256780</v>
      </c>
      <c r="R68" s="2">
        <v>221600</v>
      </c>
      <c r="S68" s="1">
        <v>221520</v>
      </c>
      <c r="T68" s="1">
        <v>243500</v>
      </c>
      <c r="U68" s="1">
        <v>231400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>
        <v>0</v>
      </c>
      <c r="P69" s="117">
        <v>239280</v>
      </c>
      <c r="Q69" s="117">
        <v>238600</v>
      </c>
      <c r="R69" s="1">
        <v>234780</v>
      </c>
      <c r="S69" s="1">
        <v>214420</v>
      </c>
      <c r="T69" s="1">
        <v>234480</v>
      </c>
      <c r="U69" s="1">
        <v>235000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201940</v>
      </c>
      <c r="P70" s="117">
        <v>224420</v>
      </c>
      <c r="Q70" s="117">
        <v>234560</v>
      </c>
      <c r="R70" s="1">
        <v>224040</v>
      </c>
      <c r="S70" s="1">
        <v>194500</v>
      </c>
      <c r="T70" s="1">
        <v>202400</v>
      </c>
      <c r="U70" s="1">
        <v>210040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190120</v>
      </c>
      <c r="P71" s="95">
        <v>213560</v>
      </c>
      <c r="Q71" s="95">
        <v>228160</v>
      </c>
      <c r="R71" s="1">
        <v>168860</v>
      </c>
      <c r="S71" s="1">
        <v>191840</v>
      </c>
      <c r="T71" s="1">
        <v>191920</v>
      </c>
      <c r="U71" s="1">
        <v>200480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/>
      <c r="O72" s="96">
        <f>SUM(O60:O71)</f>
        <v>392060</v>
      </c>
      <c r="P72" s="96">
        <f>SUM(P60:P71)</f>
        <v>2671300</v>
      </c>
      <c r="Q72" s="96">
        <f>SUM(Q60:Q71)</f>
        <v>2732780</v>
      </c>
      <c r="R72" s="126">
        <f t="shared" ref="R72" si="6">SUM(R60:R71)</f>
        <v>2530860</v>
      </c>
      <c r="S72" s="126">
        <f>SUM(S60:S71)</f>
        <v>2613260</v>
      </c>
      <c r="T72" s="126">
        <f t="shared" ref="T72" si="7">SUM(T60:T71)</f>
        <v>2513980</v>
      </c>
      <c r="U72" s="126">
        <f>SUM(U60:U71)</f>
        <v>2620640</v>
      </c>
    </row>
    <row r="73" spans="1:21" x14ac:dyDescent="0.2">
      <c r="Q73" s="41"/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U93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0.7109375" customWidth="1"/>
    <col min="2" max="2" width="11.7109375" customWidth="1"/>
    <col min="3" max="11" width="11.28515625" customWidth="1"/>
    <col min="12" max="12" width="11.7109375" customWidth="1"/>
    <col min="13" max="21" width="11.7109375" bestFit="1" customWidth="1"/>
  </cols>
  <sheetData>
    <row r="2" spans="1:21" x14ac:dyDescent="0.2">
      <c r="A2" s="24" t="s">
        <v>24</v>
      </c>
      <c r="B2" s="145">
        <v>5.0000000000000001E-3</v>
      </c>
      <c r="C2" t="s">
        <v>179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1312376.56</v>
      </c>
      <c r="C5" s="1">
        <v>1356465.65</v>
      </c>
      <c r="D5" s="2">
        <v>1340814.8999999999</v>
      </c>
      <c r="E5" s="2">
        <f>1377305.68-27</f>
        <v>1377278.68</v>
      </c>
      <c r="F5" s="2">
        <v>1374414.98</v>
      </c>
      <c r="G5" s="2">
        <v>1388167</v>
      </c>
      <c r="H5" s="2">
        <v>1368929</v>
      </c>
      <c r="I5" s="2">
        <v>1374216</v>
      </c>
      <c r="J5" s="2">
        <v>1488910</v>
      </c>
      <c r="K5" s="2">
        <v>1366013</v>
      </c>
      <c r="L5" s="102">
        <v>1468413</v>
      </c>
      <c r="M5" s="102">
        <v>1607734</v>
      </c>
      <c r="N5" s="102">
        <v>1558898</v>
      </c>
      <c r="O5" s="102">
        <v>1602944</v>
      </c>
      <c r="P5" s="102">
        <v>1573855</v>
      </c>
      <c r="Q5" s="102">
        <v>1618796</v>
      </c>
      <c r="R5" s="1">
        <v>1687941</v>
      </c>
      <c r="S5" s="1">
        <v>1508062</v>
      </c>
      <c r="T5" s="1">
        <v>1886322</v>
      </c>
      <c r="U5" s="1">
        <v>1977221</v>
      </c>
    </row>
    <row r="6" spans="1:21" x14ac:dyDescent="0.2">
      <c r="A6" s="26" t="s">
        <v>1</v>
      </c>
      <c r="B6" s="1">
        <v>983480.2</v>
      </c>
      <c r="C6" s="1">
        <v>1177867.95</v>
      </c>
      <c r="D6" s="2">
        <v>1067704.17</v>
      </c>
      <c r="E6" s="2">
        <f>1129711.57-6</f>
        <v>1129705.57</v>
      </c>
      <c r="F6" s="2">
        <f>1142243.38+96</f>
        <v>1142339.3799999999</v>
      </c>
      <c r="G6" s="2">
        <v>1225212</v>
      </c>
      <c r="H6" s="2">
        <v>1114649</v>
      </c>
      <c r="I6" s="2">
        <v>1057124</v>
      </c>
      <c r="J6" s="2">
        <v>1046353</v>
      </c>
      <c r="K6" s="2">
        <v>1200855</v>
      </c>
      <c r="L6" s="102">
        <v>1241770</v>
      </c>
      <c r="M6" s="102">
        <v>1267419</v>
      </c>
      <c r="N6" s="102">
        <v>1392758</v>
      </c>
      <c r="O6" s="102">
        <v>1309332</v>
      </c>
      <c r="P6" s="102">
        <v>1358359</v>
      </c>
      <c r="Q6" s="102">
        <v>1382102</v>
      </c>
      <c r="R6" s="1">
        <v>1437083</v>
      </c>
      <c r="S6" s="1">
        <v>1227434</v>
      </c>
      <c r="T6" s="1">
        <v>1729757</v>
      </c>
      <c r="U6" s="1">
        <v>1640399</v>
      </c>
    </row>
    <row r="7" spans="1:21" x14ac:dyDescent="0.2">
      <c r="A7" s="26" t="s">
        <v>2</v>
      </c>
      <c r="B7" s="1">
        <v>963927.76</v>
      </c>
      <c r="C7" s="1">
        <v>915264.16</v>
      </c>
      <c r="D7" s="2">
        <v>980289.09</v>
      </c>
      <c r="E7" s="2">
        <f>1021663.68+24</f>
        <v>1021687.68</v>
      </c>
      <c r="F7" s="2">
        <f>1100351.64+1685</f>
        <v>1102036.6399999999</v>
      </c>
      <c r="G7" s="2">
        <v>1130208</v>
      </c>
      <c r="H7" s="2">
        <v>1067802</v>
      </c>
      <c r="I7" s="2">
        <v>1134859</v>
      </c>
      <c r="J7" s="2">
        <v>1057577</v>
      </c>
      <c r="K7" s="2">
        <v>1151555</v>
      </c>
      <c r="L7" s="106">
        <v>1137542</v>
      </c>
      <c r="M7" s="106">
        <v>1210492</v>
      </c>
      <c r="N7" s="106">
        <v>1376792</v>
      </c>
      <c r="O7" s="106">
        <v>1307732</v>
      </c>
      <c r="P7" s="106">
        <v>1431475</v>
      </c>
      <c r="Q7" s="106">
        <v>1286915</v>
      </c>
      <c r="R7" s="1">
        <v>1360158</v>
      </c>
      <c r="S7" s="1">
        <v>1180609</v>
      </c>
      <c r="T7" s="1">
        <v>1420130</v>
      </c>
      <c r="U7" s="1">
        <v>1609503</v>
      </c>
    </row>
    <row r="8" spans="1:21" x14ac:dyDescent="0.2">
      <c r="A8" s="26" t="s">
        <v>3</v>
      </c>
      <c r="B8" s="1">
        <v>1110732.3899999999</v>
      </c>
      <c r="C8" s="1">
        <v>1103057.6200000001</v>
      </c>
      <c r="D8" s="2">
        <v>1158970.6499999999</v>
      </c>
      <c r="E8" s="2">
        <v>1275167.55</v>
      </c>
      <c r="F8" s="2">
        <f>1187829.37-428</f>
        <v>1187401.3700000001</v>
      </c>
      <c r="G8" s="2">
        <v>1227773</v>
      </c>
      <c r="H8" s="2">
        <v>1241784</v>
      </c>
      <c r="I8" s="2">
        <v>1219101</v>
      </c>
      <c r="J8" s="2">
        <v>1270920</v>
      </c>
      <c r="K8" s="2">
        <v>1390082</v>
      </c>
      <c r="L8" s="106">
        <v>1350310</v>
      </c>
      <c r="M8" s="106">
        <v>1444444</v>
      </c>
      <c r="N8" s="106">
        <v>1440900</v>
      </c>
      <c r="O8" s="106">
        <v>1575295</v>
      </c>
      <c r="P8" s="106">
        <v>1539578</v>
      </c>
      <c r="Q8" s="106">
        <v>1542300</v>
      </c>
      <c r="R8" s="1">
        <v>1349921</v>
      </c>
      <c r="S8" s="1">
        <v>1496279</v>
      </c>
      <c r="T8" s="1">
        <v>2029003</v>
      </c>
      <c r="U8" s="1">
        <v>1928518</v>
      </c>
    </row>
    <row r="9" spans="1:21" x14ac:dyDescent="0.2">
      <c r="A9" s="26" t="s">
        <v>4</v>
      </c>
      <c r="B9" s="1">
        <v>997742</v>
      </c>
      <c r="C9" s="1">
        <v>1038423.46</v>
      </c>
      <c r="D9" s="2">
        <v>1039421.45</v>
      </c>
      <c r="E9" s="2">
        <f>1113108.94-1</f>
        <v>1113107.94</v>
      </c>
      <c r="F9" s="2">
        <f>1137439.3-2941</f>
        <v>1134498.3</v>
      </c>
      <c r="G9" s="2">
        <v>1047375</v>
      </c>
      <c r="H9" s="2">
        <v>1072048</v>
      </c>
      <c r="I9" s="2">
        <v>1149764</v>
      </c>
      <c r="J9" s="2">
        <v>1088384</v>
      </c>
      <c r="K9" s="2">
        <v>1205003</v>
      </c>
      <c r="L9" s="106">
        <v>1260981</v>
      </c>
      <c r="M9" s="106">
        <v>1311579</v>
      </c>
      <c r="N9" s="106">
        <v>1321384</v>
      </c>
      <c r="O9" s="106">
        <v>1376014</v>
      </c>
      <c r="P9" s="106">
        <v>1215101</v>
      </c>
      <c r="Q9" s="106">
        <v>1561304</v>
      </c>
      <c r="R9" s="1">
        <v>1066863</v>
      </c>
      <c r="S9" s="1">
        <v>1393973</v>
      </c>
      <c r="T9" s="1">
        <v>1652876</v>
      </c>
      <c r="U9" s="1">
        <v>1734683</v>
      </c>
    </row>
    <row r="10" spans="1:21" x14ac:dyDescent="0.2">
      <c r="A10" s="26" t="s">
        <v>5</v>
      </c>
      <c r="B10" s="1">
        <v>975375.18</v>
      </c>
      <c r="C10" s="1">
        <v>1095791.1100000001</v>
      </c>
      <c r="D10" s="2">
        <v>1130306.46</v>
      </c>
      <c r="E10" s="2">
        <f>1183318.23+4085</f>
        <v>1187403.23</v>
      </c>
      <c r="F10" s="2">
        <f>1161628.52-4</f>
        <v>1161624.52</v>
      </c>
      <c r="G10" s="2">
        <v>1091109</v>
      </c>
      <c r="H10" s="2">
        <v>1077570</v>
      </c>
      <c r="I10" s="2">
        <v>1234276</v>
      </c>
      <c r="J10" s="2">
        <v>1088644</v>
      </c>
      <c r="K10" s="2">
        <v>1251218</v>
      </c>
      <c r="L10" s="106">
        <v>1304143</v>
      </c>
      <c r="M10" s="106">
        <v>1326827</v>
      </c>
      <c r="N10" s="106">
        <v>1334614</v>
      </c>
      <c r="O10" s="106">
        <v>1390428</v>
      </c>
      <c r="P10" s="106">
        <v>1405119</v>
      </c>
      <c r="Q10" s="106">
        <v>1474151</v>
      </c>
      <c r="R10" s="1">
        <v>1150823</v>
      </c>
      <c r="S10" s="1">
        <v>1446309</v>
      </c>
      <c r="T10" s="1">
        <v>1972678</v>
      </c>
      <c r="U10" s="1">
        <v>1783594</v>
      </c>
    </row>
    <row r="11" spans="1:21" x14ac:dyDescent="0.2">
      <c r="A11" s="26" t="s">
        <v>6</v>
      </c>
      <c r="B11" s="1">
        <v>1000090.29</v>
      </c>
      <c r="C11" s="1">
        <v>892511.15</v>
      </c>
      <c r="D11" s="2">
        <v>931454.16</v>
      </c>
      <c r="E11" s="2">
        <f>1026554.5-598</f>
        <v>1025956.5</v>
      </c>
      <c r="F11" s="2">
        <v>1030033.26</v>
      </c>
      <c r="G11" s="2">
        <v>915103</v>
      </c>
      <c r="H11" s="2">
        <v>1094634</v>
      </c>
      <c r="I11" s="2">
        <v>1079680</v>
      </c>
      <c r="J11" s="2">
        <v>1200273</v>
      </c>
      <c r="K11" s="2">
        <v>1220258</v>
      </c>
      <c r="L11" s="106">
        <v>1251944</v>
      </c>
      <c r="M11" s="106">
        <v>1199320</v>
      </c>
      <c r="N11" s="106">
        <v>1301560</v>
      </c>
      <c r="O11" s="106">
        <v>1376567</v>
      </c>
      <c r="P11" s="106">
        <v>1370558</v>
      </c>
      <c r="Q11" s="106">
        <v>1422243</v>
      </c>
      <c r="R11" s="1">
        <v>1302481</v>
      </c>
      <c r="S11" s="1">
        <v>1624955</v>
      </c>
      <c r="T11" s="1">
        <v>1861638</v>
      </c>
      <c r="U11" s="1">
        <v>2054045</v>
      </c>
    </row>
    <row r="12" spans="1:21" x14ac:dyDescent="0.2">
      <c r="A12" s="26" t="s">
        <v>7</v>
      </c>
      <c r="B12" s="1">
        <v>1250286.71</v>
      </c>
      <c r="C12" s="1">
        <v>1429811.1</v>
      </c>
      <c r="D12" s="2">
        <v>1377760.23</v>
      </c>
      <c r="E12" s="2">
        <v>1376431.45</v>
      </c>
      <c r="F12" s="2">
        <f>1407938.16-5570</f>
        <v>1402368.16</v>
      </c>
      <c r="G12" s="2">
        <v>1392569</v>
      </c>
      <c r="H12" s="2">
        <v>1274860</v>
      </c>
      <c r="I12" s="2">
        <v>1195339</v>
      </c>
      <c r="J12" s="2">
        <v>1368627</v>
      </c>
      <c r="K12" s="2">
        <v>1479374</v>
      </c>
      <c r="L12" s="106">
        <v>1503225</v>
      </c>
      <c r="M12" s="106">
        <v>1543570</v>
      </c>
      <c r="N12" s="106">
        <v>1604046</v>
      </c>
      <c r="O12" s="106">
        <v>1573914</v>
      </c>
      <c r="P12" s="106">
        <v>1558482</v>
      </c>
      <c r="Q12" s="106">
        <v>1800854</v>
      </c>
      <c r="R12" s="1">
        <v>1447796</v>
      </c>
      <c r="S12" s="1">
        <v>1722585</v>
      </c>
      <c r="T12" s="1">
        <v>1781736</v>
      </c>
      <c r="U12" s="1">
        <v>1747111</v>
      </c>
    </row>
    <row r="13" spans="1:21" x14ac:dyDescent="0.2">
      <c r="A13" s="26" t="s">
        <v>8</v>
      </c>
      <c r="B13" s="1">
        <v>1063057.28</v>
      </c>
      <c r="C13" s="1">
        <v>1062135.07</v>
      </c>
      <c r="D13" s="2">
        <v>1175389.78</v>
      </c>
      <c r="E13" s="2">
        <v>1183749.5900000001</v>
      </c>
      <c r="F13" s="2">
        <f>1144010.2-11</f>
        <v>1143999.2</v>
      </c>
      <c r="G13" s="2">
        <v>1064165</v>
      </c>
      <c r="H13" s="2">
        <v>1188472</v>
      </c>
      <c r="I13" s="2">
        <v>1345639</v>
      </c>
      <c r="J13" s="2">
        <v>1191010</v>
      </c>
      <c r="K13" s="2">
        <v>1312396</v>
      </c>
      <c r="L13" s="106">
        <v>1311647</v>
      </c>
      <c r="M13" s="106">
        <v>1402853</v>
      </c>
      <c r="N13" s="106">
        <v>1481448</v>
      </c>
      <c r="O13" s="106">
        <v>1573603</v>
      </c>
      <c r="P13" s="106">
        <v>1454134</v>
      </c>
      <c r="Q13" s="106">
        <v>1574210</v>
      </c>
      <c r="R13" s="2">
        <v>1317036</v>
      </c>
      <c r="S13" s="1">
        <v>1594686</v>
      </c>
      <c r="T13" s="1">
        <v>1889080</v>
      </c>
      <c r="U13" s="1">
        <v>1934073</v>
      </c>
    </row>
    <row r="14" spans="1:21" x14ac:dyDescent="0.2">
      <c r="A14" s="26" t="s">
        <v>9</v>
      </c>
      <c r="B14" s="1">
        <v>1093259.7</v>
      </c>
      <c r="C14" s="1">
        <v>1176298.99</v>
      </c>
      <c r="D14" s="2">
        <v>1173723.1399999999</v>
      </c>
      <c r="E14" s="2">
        <f>1204154.24+183</f>
        <v>1204337.24</v>
      </c>
      <c r="F14" s="2">
        <f>1296903.5+3195+9852.46+398-357</f>
        <v>1309991.96</v>
      </c>
      <c r="G14" s="2">
        <v>1361192</v>
      </c>
      <c r="H14" s="2">
        <v>1277186</v>
      </c>
      <c r="I14" s="2">
        <v>1233211</v>
      </c>
      <c r="J14" s="2">
        <v>1202274</v>
      </c>
      <c r="K14" s="2">
        <v>1381553</v>
      </c>
      <c r="L14" s="106">
        <v>1253702</v>
      </c>
      <c r="M14" s="106">
        <v>1457247</v>
      </c>
      <c r="N14" s="106">
        <v>1447198</v>
      </c>
      <c r="O14" s="106">
        <v>1498818</v>
      </c>
      <c r="P14" s="106">
        <v>1515806</v>
      </c>
      <c r="Q14" s="106">
        <v>1639573</v>
      </c>
      <c r="R14" s="1">
        <v>1404868</v>
      </c>
      <c r="S14" s="1">
        <v>1740135</v>
      </c>
      <c r="T14" s="1">
        <v>1866301</v>
      </c>
      <c r="U14" s="1">
        <v>2008561</v>
      </c>
    </row>
    <row r="15" spans="1:21" x14ac:dyDescent="0.2">
      <c r="A15" s="26" t="s">
        <v>10</v>
      </c>
      <c r="B15" s="53">
        <v>1034784.81</v>
      </c>
      <c r="C15" s="53">
        <v>1138431.76</v>
      </c>
      <c r="D15" s="2">
        <v>1165857.1399999999</v>
      </c>
      <c r="E15" s="2">
        <v>1197971.81</v>
      </c>
      <c r="F15" s="2"/>
      <c r="G15" s="2">
        <v>1130780</v>
      </c>
      <c r="H15" s="2">
        <v>1147169</v>
      </c>
      <c r="I15" s="2">
        <v>1361358</v>
      </c>
      <c r="J15" s="2">
        <v>1395399</v>
      </c>
      <c r="K15" s="2">
        <v>1378419</v>
      </c>
      <c r="L15" s="106">
        <v>1373448</v>
      </c>
      <c r="M15" s="106">
        <v>1419446</v>
      </c>
      <c r="N15" s="106">
        <v>1488561</v>
      </c>
      <c r="O15" s="106">
        <v>1386620</v>
      </c>
      <c r="P15" s="106">
        <v>1635312</v>
      </c>
      <c r="Q15" s="106">
        <v>1666725</v>
      </c>
      <c r="R15" s="1">
        <v>1542672</v>
      </c>
      <c r="S15" s="1">
        <v>1600163</v>
      </c>
      <c r="T15" s="1">
        <v>1822116</v>
      </c>
      <c r="U15" s="1">
        <v>1849644</v>
      </c>
    </row>
    <row r="16" spans="1:21" x14ac:dyDescent="0.2">
      <c r="A16" s="26" t="s">
        <v>11</v>
      </c>
      <c r="B16" s="39">
        <v>993452.96</v>
      </c>
      <c r="C16" s="39">
        <v>1050766.31</v>
      </c>
      <c r="D16" s="39">
        <v>1113168.3700000001</v>
      </c>
      <c r="E16" s="39">
        <f>1131496.45+66</f>
        <v>1131562.45</v>
      </c>
      <c r="F16" s="39">
        <v>2095423</v>
      </c>
      <c r="G16" s="84">
        <v>1064390</v>
      </c>
      <c r="H16" s="40">
        <v>1106381</v>
      </c>
      <c r="I16" s="40">
        <v>1111783</v>
      </c>
      <c r="J16" s="40">
        <v>1123528</v>
      </c>
      <c r="K16" s="40">
        <v>1340969</v>
      </c>
      <c r="L16" s="95">
        <v>1199320</v>
      </c>
      <c r="M16" s="95">
        <v>1435608</v>
      </c>
      <c r="N16" s="95">
        <v>1325433</v>
      </c>
      <c r="O16" s="95">
        <v>1521852</v>
      </c>
      <c r="P16" s="95">
        <v>1575402</v>
      </c>
      <c r="Q16" s="95">
        <v>1459848</v>
      </c>
      <c r="R16" s="1">
        <v>1357694</v>
      </c>
      <c r="S16" s="1">
        <v>1599837</v>
      </c>
      <c r="T16" s="1">
        <v>1960185</v>
      </c>
      <c r="U16" s="1">
        <v>1862549</v>
      </c>
    </row>
    <row r="17" spans="1:21" x14ac:dyDescent="0.2">
      <c r="A17" s="28"/>
      <c r="B17" s="46">
        <f t="shared" ref="B17:H17" si="0">SUM(B5:B16)</f>
        <v>12778565.84</v>
      </c>
      <c r="C17" s="64">
        <f t="shared" si="0"/>
        <v>13436824.330000002</v>
      </c>
      <c r="D17" s="44">
        <f t="shared" si="0"/>
        <v>13654859.539999999</v>
      </c>
      <c r="E17" s="44">
        <f t="shared" si="0"/>
        <v>14224359.689999999</v>
      </c>
      <c r="F17" s="44">
        <f t="shared" si="0"/>
        <v>14084130.77</v>
      </c>
      <c r="G17" s="44">
        <f t="shared" si="0"/>
        <v>14038043</v>
      </c>
      <c r="H17" s="44">
        <f t="shared" si="0"/>
        <v>14031484</v>
      </c>
      <c r="I17" s="44">
        <f t="shared" ref="I17:N17" si="1">SUM(I5:I16)</f>
        <v>14496350</v>
      </c>
      <c r="J17" s="44">
        <f t="shared" si="1"/>
        <v>14521899</v>
      </c>
      <c r="K17" s="44">
        <f t="shared" si="1"/>
        <v>15677695</v>
      </c>
      <c r="L17" s="96">
        <f t="shared" si="1"/>
        <v>15656445</v>
      </c>
      <c r="M17" s="96">
        <f t="shared" si="1"/>
        <v>16626539</v>
      </c>
      <c r="N17" s="96">
        <f t="shared" si="1"/>
        <v>17073592</v>
      </c>
      <c r="O17" s="96">
        <f t="shared" ref="O17:P17" si="2">SUM(O5:O16)</f>
        <v>17493119</v>
      </c>
      <c r="P17" s="96">
        <f t="shared" si="2"/>
        <v>17633181</v>
      </c>
      <c r="Q17" s="96">
        <f t="shared" ref="Q17" si="3">SUM(Q5:Q16)</f>
        <v>18429021</v>
      </c>
      <c r="R17" s="126">
        <f t="shared" ref="R17" si="4">SUM(R5:R16)</f>
        <v>16425336</v>
      </c>
      <c r="S17" s="126">
        <f t="shared" ref="S17:T17" si="5">SUM(S5:S16)</f>
        <v>18135027</v>
      </c>
      <c r="T17" s="126">
        <f t="shared" si="5"/>
        <v>21871822</v>
      </c>
      <c r="U17" s="126">
        <f t="shared" ref="U17" si="6">SUM(U5:U16)</f>
        <v>22129901</v>
      </c>
    </row>
    <row r="18" spans="1:21" x14ac:dyDescent="0.2">
      <c r="A18" s="25"/>
      <c r="B18" s="2"/>
      <c r="L18" s="94"/>
    </row>
    <row r="19" spans="1:21" x14ac:dyDescent="0.2">
      <c r="A19" s="25"/>
      <c r="B19" s="2"/>
      <c r="F19" s="35" t="s">
        <v>110</v>
      </c>
      <c r="L19" s="94"/>
    </row>
    <row r="20" spans="1:21" x14ac:dyDescent="0.2">
      <c r="B20" s="2"/>
      <c r="F20" s="35" t="s">
        <v>111</v>
      </c>
      <c r="L20" s="94"/>
    </row>
    <row r="21" spans="1:21" x14ac:dyDescent="0.2">
      <c r="A21" s="24" t="s">
        <v>25</v>
      </c>
      <c r="B21" s="145">
        <v>5.0000000000000001E-3</v>
      </c>
      <c r="C21" t="s">
        <v>180</v>
      </c>
      <c r="L21" s="94"/>
    </row>
    <row r="22" spans="1:21" x14ac:dyDescent="0.2">
      <c r="A22" s="25"/>
      <c r="B22" s="85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B23" s="2"/>
    </row>
    <row r="24" spans="1:21" x14ac:dyDescent="0.2">
      <c r="A24" s="26" t="s">
        <v>0</v>
      </c>
      <c r="B24" s="1">
        <v>81784</v>
      </c>
      <c r="C24" s="1">
        <v>154380.82</v>
      </c>
      <c r="D24" s="2">
        <v>225259.28</v>
      </c>
      <c r="E24" s="2">
        <v>192454.68</v>
      </c>
      <c r="F24" s="2">
        <v>92062.62</v>
      </c>
      <c r="G24" s="2">
        <v>198581</v>
      </c>
      <c r="H24" s="2">
        <v>665548</v>
      </c>
      <c r="I24" s="2">
        <v>146277</v>
      </c>
      <c r="J24" s="2">
        <v>152910</v>
      </c>
      <c r="K24" s="2">
        <v>213208</v>
      </c>
      <c r="L24" s="102">
        <v>174049</v>
      </c>
      <c r="M24" s="102">
        <v>255741</v>
      </c>
      <c r="N24" s="102">
        <v>187288</v>
      </c>
      <c r="O24" s="102">
        <v>141296</v>
      </c>
      <c r="P24" s="102">
        <v>154691</v>
      </c>
      <c r="Q24" s="102">
        <v>192333</v>
      </c>
      <c r="R24" s="1">
        <v>155553</v>
      </c>
      <c r="S24" s="1">
        <v>746177</v>
      </c>
      <c r="T24" s="1">
        <v>143230</v>
      </c>
      <c r="U24" s="1">
        <v>171537</v>
      </c>
    </row>
    <row r="25" spans="1:21" x14ac:dyDescent="0.2">
      <c r="A25" s="26" t="s">
        <v>1</v>
      </c>
      <c r="B25" s="1">
        <v>119037</v>
      </c>
      <c r="C25" s="1">
        <v>136050.49</v>
      </c>
      <c r="D25" s="2">
        <v>114288.75</v>
      </c>
      <c r="E25" s="2">
        <v>163053.07999999999</v>
      </c>
      <c r="F25" s="2">
        <f>65245.49-128</f>
        <v>65117.49</v>
      </c>
      <c r="G25" s="2">
        <v>175901</v>
      </c>
      <c r="H25" s="2">
        <v>118546</v>
      </c>
      <c r="I25" s="2">
        <v>116552</v>
      </c>
      <c r="J25" s="2">
        <v>159234</v>
      </c>
      <c r="K25" s="2">
        <v>166669</v>
      </c>
      <c r="L25" s="102">
        <v>783075</v>
      </c>
      <c r="M25" s="102">
        <v>164283</v>
      </c>
      <c r="N25" s="102">
        <v>194751</v>
      </c>
      <c r="O25" s="102">
        <v>88693</v>
      </c>
      <c r="P25" s="102">
        <v>166418</v>
      </c>
      <c r="Q25" s="102">
        <v>177969</v>
      </c>
      <c r="R25" s="1">
        <v>168163</v>
      </c>
      <c r="S25" s="1">
        <v>78899</v>
      </c>
      <c r="T25" s="1">
        <v>253116</v>
      </c>
      <c r="U25" s="1">
        <v>176162</v>
      </c>
    </row>
    <row r="26" spans="1:21" x14ac:dyDescent="0.2">
      <c r="A26" s="26" t="s">
        <v>2</v>
      </c>
      <c r="B26" s="1">
        <v>226635.92</v>
      </c>
      <c r="C26" s="1">
        <v>85248.94</v>
      </c>
      <c r="D26" s="2">
        <v>101592.36</v>
      </c>
      <c r="E26" s="2">
        <v>66245.16</v>
      </c>
      <c r="F26" s="2">
        <v>60501.91</v>
      </c>
      <c r="G26" s="2">
        <v>143339</v>
      </c>
      <c r="H26" s="2">
        <v>114570</v>
      </c>
      <c r="I26" s="2">
        <v>140276</v>
      </c>
      <c r="J26" s="2">
        <v>140471</v>
      </c>
      <c r="K26" s="2">
        <v>107411</v>
      </c>
      <c r="L26" s="102">
        <v>143663</v>
      </c>
      <c r="M26" s="106">
        <v>129748</v>
      </c>
      <c r="N26" s="106">
        <v>128299</v>
      </c>
      <c r="O26" s="106">
        <v>144440</v>
      </c>
      <c r="P26" s="106">
        <v>144246</v>
      </c>
      <c r="Q26" s="106">
        <v>137863</v>
      </c>
      <c r="R26" s="1">
        <v>146409</v>
      </c>
      <c r="S26" s="1">
        <v>84709</v>
      </c>
      <c r="T26" s="1">
        <v>109742</v>
      </c>
      <c r="U26" s="1">
        <v>118369</v>
      </c>
    </row>
    <row r="27" spans="1:21" x14ac:dyDescent="0.2">
      <c r="A27" s="26" t="s">
        <v>3</v>
      </c>
      <c r="B27" s="1">
        <v>113324.23</v>
      </c>
      <c r="C27" s="1">
        <v>111813.35</v>
      </c>
      <c r="D27" s="2">
        <v>108819.27</v>
      </c>
      <c r="E27" s="2">
        <v>554756.87</v>
      </c>
      <c r="F27" s="2">
        <f>72188.68+428</f>
        <v>72616.679999999993</v>
      </c>
      <c r="G27" s="2">
        <v>150917</v>
      </c>
      <c r="H27" s="2">
        <v>108087</v>
      </c>
      <c r="I27" s="2">
        <v>176772</v>
      </c>
      <c r="J27" s="2">
        <v>288715</v>
      </c>
      <c r="K27" s="2">
        <v>110632</v>
      </c>
      <c r="L27" s="102">
        <v>111851</v>
      </c>
      <c r="M27" s="106">
        <v>136169</v>
      </c>
      <c r="N27" s="106">
        <v>292247</v>
      </c>
      <c r="O27" s="106">
        <v>66580</v>
      </c>
      <c r="P27" s="106">
        <v>131983</v>
      </c>
      <c r="Q27" s="106">
        <v>132426</v>
      </c>
      <c r="R27" s="1">
        <v>156359</v>
      </c>
      <c r="S27" s="1">
        <v>149425</v>
      </c>
      <c r="T27" s="1">
        <v>184575</v>
      </c>
      <c r="U27" s="1">
        <v>155351</v>
      </c>
    </row>
    <row r="28" spans="1:21" x14ac:dyDescent="0.2">
      <c r="A28" s="26" t="s">
        <v>4</v>
      </c>
      <c r="B28" s="1">
        <v>87583.06</v>
      </c>
      <c r="C28" s="1">
        <v>120276.3</v>
      </c>
      <c r="D28" s="2">
        <v>79516.710000000006</v>
      </c>
      <c r="E28" s="2">
        <v>74652.86</v>
      </c>
      <c r="F28" s="2">
        <v>471543.71</v>
      </c>
      <c r="G28" s="2">
        <v>168547</v>
      </c>
      <c r="H28" s="2">
        <v>118352</v>
      </c>
      <c r="I28" s="2">
        <v>155655</v>
      </c>
      <c r="J28" s="2">
        <v>181516</v>
      </c>
      <c r="K28" s="2">
        <v>149559</v>
      </c>
      <c r="L28" s="102">
        <v>91665</v>
      </c>
      <c r="M28" s="106">
        <v>137530</v>
      </c>
      <c r="N28" s="106">
        <v>149449</v>
      </c>
      <c r="O28" s="106">
        <v>201378</v>
      </c>
      <c r="P28" s="106">
        <v>132694</v>
      </c>
      <c r="Q28" s="106">
        <v>160836</v>
      </c>
      <c r="R28" s="1">
        <v>129697</v>
      </c>
      <c r="S28" s="1">
        <v>-284488</v>
      </c>
      <c r="T28" s="1">
        <v>179766</v>
      </c>
      <c r="U28" s="1">
        <v>108022</v>
      </c>
    </row>
    <row r="29" spans="1:21" x14ac:dyDescent="0.2">
      <c r="A29" s="26" t="s">
        <v>5</v>
      </c>
      <c r="B29" s="1">
        <v>94141.91</v>
      </c>
      <c r="C29" s="1">
        <v>101936.52</v>
      </c>
      <c r="D29" s="2">
        <v>161320</v>
      </c>
      <c r="E29" s="2">
        <f>-179665.49+45</f>
        <v>-179620.49</v>
      </c>
      <c r="F29" s="2">
        <v>40486.83</v>
      </c>
      <c r="G29" s="2">
        <v>102012</v>
      </c>
      <c r="H29" s="2">
        <v>95005</v>
      </c>
      <c r="I29" s="2">
        <v>118404</v>
      </c>
      <c r="J29" s="2">
        <v>163448</v>
      </c>
      <c r="K29" s="2">
        <v>163741</v>
      </c>
      <c r="L29" s="102">
        <v>161755</v>
      </c>
      <c r="M29" s="106">
        <v>128923</v>
      </c>
      <c r="N29" s="106">
        <v>65267</v>
      </c>
      <c r="O29" s="106">
        <v>164001</v>
      </c>
      <c r="P29" s="106">
        <v>144673</v>
      </c>
      <c r="Q29" s="106">
        <v>174614</v>
      </c>
      <c r="R29" s="1">
        <v>217190</v>
      </c>
      <c r="S29" s="1">
        <v>121238</v>
      </c>
      <c r="T29" s="1">
        <v>461368</v>
      </c>
      <c r="U29" s="1">
        <v>183718</v>
      </c>
    </row>
    <row r="30" spans="1:21" x14ac:dyDescent="0.2">
      <c r="A30" s="26" t="s">
        <v>6</v>
      </c>
      <c r="B30" s="1">
        <v>189210.26</v>
      </c>
      <c r="C30" s="1">
        <v>147543.29999999999</v>
      </c>
      <c r="D30" s="2">
        <v>279437.25</v>
      </c>
      <c r="E30" s="2">
        <v>241274.02</v>
      </c>
      <c r="F30" s="2">
        <v>136018.88</v>
      </c>
      <c r="G30" s="2">
        <v>174388</v>
      </c>
      <c r="H30" s="2">
        <v>191647</v>
      </c>
      <c r="I30" s="2">
        <v>185501</v>
      </c>
      <c r="J30" s="2">
        <v>146654</v>
      </c>
      <c r="K30" s="2">
        <v>194565</v>
      </c>
      <c r="L30" s="102">
        <v>202429</v>
      </c>
      <c r="M30" s="106">
        <v>149496</v>
      </c>
      <c r="N30" s="106">
        <v>188536</v>
      </c>
      <c r="O30" s="106">
        <v>152107</v>
      </c>
      <c r="P30" s="106">
        <v>163547</v>
      </c>
      <c r="Q30" s="106">
        <v>157480</v>
      </c>
      <c r="R30" s="1">
        <v>155876</v>
      </c>
      <c r="S30" s="1">
        <v>157177</v>
      </c>
      <c r="T30" s="1">
        <v>101283</v>
      </c>
      <c r="U30" s="1">
        <v>250623</v>
      </c>
    </row>
    <row r="31" spans="1:21" x14ac:dyDescent="0.2">
      <c r="A31" s="26" t="s">
        <v>7</v>
      </c>
      <c r="B31" s="1">
        <v>127704.82</v>
      </c>
      <c r="C31" s="1">
        <v>167217.25</v>
      </c>
      <c r="D31" s="2">
        <v>196380.29</v>
      </c>
      <c r="E31" s="2">
        <v>180514.32</v>
      </c>
      <c r="F31" s="2">
        <v>212702.01</v>
      </c>
      <c r="G31" s="2">
        <v>214397</v>
      </c>
      <c r="H31" s="2">
        <v>72735</v>
      </c>
      <c r="I31" s="2">
        <v>108234</v>
      </c>
      <c r="J31" s="2">
        <v>131308</v>
      </c>
      <c r="K31" s="2">
        <v>140407</v>
      </c>
      <c r="L31" s="102">
        <v>150740</v>
      </c>
      <c r="M31" s="106">
        <v>212596</v>
      </c>
      <c r="N31" s="106">
        <v>193002</v>
      </c>
      <c r="O31" s="106">
        <v>213155</v>
      </c>
      <c r="P31" s="106">
        <v>194715</v>
      </c>
      <c r="Q31" s="106">
        <v>-194758</v>
      </c>
      <c r="R31" s="1">
        <v>65442</v>
      </c>
      <c r="S31" s="1">
        <v>295409</v>
      </c>
      <c r="T31" s="1">
        <v>150055</v>
      </c>
      <c r="U31" s="1">
        <v>129681</v>
      </c>
    </row>
    <row r="32" spans="1:21" x14ac:dyDescent="0.2">
      <c r="A32" s="26" t="s">
        <v>8</v>
      </c>
      <c r="B32" s="1">
        <v>113875.57</v>
      </c>
      <c r="C32" s="1">
        <v>142492.85999999999</v>
      </c>
      <c r="D32" s="2">
        <v>133291.35999999999</v>
      </c>
      <c r="E32" s="2">
        <v>199926.22</v>
      </c>
      <c r="F32" s="2">
        <v>141049.34</v>
      </c>
      <c r="G32" s="2">
        <v>126503</v>
      </c>
      <c r="H32" s="2">
        <v>115635</v>
      </c>
      <c r="I32" s="2">
        <v>300156</v>
      </c>
      <c r="J32" s="2">
        <v>147637</v>
      </c>
      <c r="K32" s="2">
        <v>124308</v>
      </c>
      <c r="L32" s="102">
        <v>197299</v>
      </c>
      <c r="M32" s="106">
        <v>164799</v>
      </c>
      <c r="N32" s="106">
        <v>159324</v>
      </c>
      <c r="O32" s="106">
        <v>192866</v>
      </c>
      <c r="P32" s="106">
        <v>146423</v>
      </c>
      <c r="Q32" s="106">
        <v>127649</v>
      </c>
      <c r="R32" s="2">
        <v>120510</v>
      </c>
      <c r="S32" s="1">
        <v>80017</v>
      </c>
      <c r="T32" s="1">
        <v>228582</v>
      </c>
      <c r="U32" s="1">
        <v>171623</v>
      </c>
    </row>
    <row r="33" spans="1:21" x14ac:dyDescent="0.2">
      <c r="A33" s="26" t="s">
        <v>9</v>
      </c>
      <c r="B33" s="1">
        <v>115577.18</v>
      </c>
      <c r="C33" s="1">
        <v>133108.89000000001</v>
      </c>
      <c r="D33" s="2">
        <v>148263.92000000001</v>
      </c>
      <c r="E33" s="2">
        <f>157102.81+140</f>
        <v>157242.81</v>
      </c>
      <c r="F33" s="2">
        <f>121010.53-180+3216.76</f>
        <v>124047.29</v>
      </c>
      <c r="G33" s="2">
        <v>150746</v>
      </c>
      <c r="H33" s="2">
        <v>127292</v>
      </c>
      <c r="I33" s="2">
        <v>106026</v>
      </c>
      <c r="J33" s="2">
        <v>126913</v>
      </c>
      <c r="K33" s="2">
        <v>165701</v>
      </c>
      <c r="L33" s="102">
        <v>185744</v>
      </c>
      <c r="M33" s="106">
        <v>174114</v>
      </c>
      <c r="N33" s="106">
        <v>152866</v>
      </c>
      <c r="O33" s="106">
        <v>201089</v>
      </c>
      <c r="P33" s="106">
        <v>175938</v>
      </c>
      <c r="Q33" s="106">
        <v>197794</v>
      </c>
      <c r="R33" s="1">
        <v>134245</v>
      </c>
      <c r="S33" s="1">
        <v>166386</v>
      </c>
      <c r="T33" s="1">
        <v>167600</v>
      </c>
      <c r="U33" s="1">
        <v>207086</v>
      </c>
    </row>
    <row r="34" spans="1:21" x14ac:dyDescent="0.2">
      <c r="A34" s="26" t="s">
        <v>10</v>
      </c>
      <c r="B34" s="53">
        <v>122877</v>
      </c>
      <c r="C34" s="53">
        <v>112899.73</v>
      </c>
      <c r="D34" s="2">
        <v>119641.87</v>
      </c>
      <c r="E34" s="2">
        <v>216801.44</v>
      </c>
      <c r="F34" s="2"/>
      <c r="G34" s="2">
        <v>116778</v>
      </c>
      <c r="H34" s="2">
        <v>133025</v>
      </c>
      <c r="I34" s="2">
        <v>144971</v>
      </c>
      <c r="J34" s="2">
        <v>151062</v>
      </c>
      <c r="K34" s="2">
        <v>153626</v>
      </c>
      <c r="L34" s="102">
        <v>153804</v>
      </c>
      <c r="M34" s="106">
        <v>132280</v>
      </c>
      <c r="N34" s="106">
        <v>130580</v>
      </c>
      <c r="O34" s="106">
        <v>156747</v>
      </c>
      <c r="P34" s="106">
        <v>189412</v>
      </c>
      <c r="Q34" s="106">
        <v>163251</v>
      </c>
      <c r="R34" s="1">
        <v>390023</v>
      </c>
      <c r="S34" s="1">
        <v>113173</v>
      </c>
      <c r="T34" s="1">
        <v>145445</v>
      </c>
      <c r="U34" s="1">
        <v>173682</v>
      </c>
    </row>
    <row r="35" spans="1:21" x14ac:dyDescent="0.2">
      <c r="A35" s="26" t="s">
        <v>11</v>
      </c>
      <c r="B35" s="39">
        <v>93205.71</v>
      </c>
      <c r="C35" s="39">
        <v>84947.9</v>
      </c>
      <c r="D35" s="39">
        <v>129798.55</v>
      </c>
      <c r="E35" s="39">
        <v>80011.58</v>
      </c>
      <c r="F35" s="39">
        <v>170601</v>
      </c>
      <c r="G35" s="40">
        <v>82844</v>
      </c>
      <c r="H35" s="39">
        <v>131393</v>
      </c>
      <c r="I35" s="39">
        <v>187889</v>
      </c>
      <c r="J35" s="40">
        <v>143006</v>
      </c>
      <c r="K35" s="40">
        <v>134794</v>
      </c>
      <c r="L35" s="95">
        <v>97502</v>
      </c>
      <c r="M35" s="95">
        <v>145785</v>
      </c>
      <c r="N35" s="95">
        <v>141403</v>
      </c>
      <c r="O35" s="95">
        <v>118401</v>
      </c>
      <c r="P35" s="95">
        <v>147535</v>
      </c>
      <c r="Q35" s="95">
        <v>135629</v>
      </c>
      <c r="R35" s="1">
        <v>134536</v>
      </c>
      <c r="S35" s="1">
        <v>129116</v>
      </c>
      <c r="T35" s="1">
        <v>164350</v>
      </c>
      <c r="U35" s="1">
        <v>141656</v>
      </c>
    </row>
    <row r="36" spans="1:21" x14ac:dyDescent="0.2">
      <c r="A36" s="25"/>
      <c r="B36" s="46">
        <f t="shared" ref="B36:H36" si="7">SUM(B24:B35)</f>
        <v>1484956.66</v>
      </c>
      <c r="C36" s="64">
        <f t="shared" si="7"/>
        <v>1497916.35</v>
      </c>
      <c r="D36" s="44">
        <f t="shared" si="7"/>
        <v>1797609.61</v>
      </c>
      <c r="E36" s="44">
        <f t="shared" si="7"/>
        <v>1947312.5500000003</v>
      </c>
      <c r="F36" s="44">
        <f t="shared" si="7"/>
        <v>1586747.76</v>
      </c>
      <c r="G36" s="44">
        <f t="shared" si="7"/>
        <v>1804953</v>
      </c>
      <c r="H36" s="44">
        <f t="shared" si="7"/>
        <v>1991835</v>
      </c>
      <c r="I36" s="44">
        <f t="shared" ref="I36:N36" si="8">SUM(I24:I35)</f>
        <v>1886713</v>
      </c>
      <c r="J36" s="44">
        <f t="shared" si="8"/>
        <v>1932874</v>
      </c>
      <c r="K36" s="44">
        <f t="shared" si="8"/>
        <v>1824621</v>
      </c>
      <c r="L36" s="96">
        <f t="shared" si="8"/>
        <v>2453576</v>
      </c>
      <c r="M36" s="96">
        <f t="shared" si="8"/>
        <v>1931464</v>
      </c>
      <c r="N36" s="96">
        <f t="shared" si="8"/>
        <v>1983012</v>
      </c>
      <c r="O36" s="96">
        <f t="shared" ref="O36:P36" si="9">SUM(O24:O35)</f>
        <v>1840753</v>
      </c>
      <c r="P36" s="96">
        <f t="shared" si="9"/>
        <v>1892275</v>
      </c>
      <c r="Q36" s="96">
        <f t="shared" ref="Q36" si="10">SUM(Q24:Q35)</f>
        <v>1563086</v>
      </c>
      <c r="R36" s="126">
        <f t="shared" ref="R36:S36" si="11">SUM(R24:R35)</f>
        <v>1974003</v>
      </c>
      <c r="S36" s="126">
        <f t="shared" si="11"/>
        <v>1837238</v>
      </c>
      <c r="T36" s="126">
        <f t="shared" ref="T36:U36" si="12">SUM(T24:T35)</f>
        <v>2289112</v>
      </c>
      <c r="U36" s="126">
        <f t="shared" si="12"/>
        <v>1987510</v>
      </c>
    </row>
    <row r="37" spans="1:21" x14ac:dyDescent="0.2">
      <c r="A37" s="25"/>
      <c r="B37" s="2"/>
      <c r="L37" s="94"/>
    </row>
    <row r="38" spans="1:21" x14ac:dyDescent="0.2">
      <c r="A38" s="25"/>
      <c r="B38" s="2"/>
      <c r="L38" s="94"/>
    </row>
    <row r="39" spans="1:21" x14ac:dyDescent="0.2">
      <c r="A39" s="29" t="s">
        <v>246</v>
      </c>
      <c r="B39" s="94"/>
      <c r="C39" s="94"/>
      <c r="D39" s="94"/>
      <c r="E39" s="152"/>
      <c r="F39" s="152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1:21" x14ac:dyDescent="0.2">
      <c r="A40" s="94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150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-7582</v>
      </c>
      <c r="H42" s="2">
        <v>-415368</v>
      </c>
      <c r="I42" s="2">
        <v>-260</v>
      </c>
      <c r="J42" s="2">
        <v>-23589</v>
      </c>
      <c r="K42" s="2">
        <v>-12985</v>
      </c>
      <c r="L42" s="2">
        <v>-30202</v>
      </c>
      <c r="M42" s="2">
        <v>-2180</v>
      </c>
      <c r="N42" s="2">
        <v>-27582</v>
      </c>
      <c r="O42" s="102">
        <v>-4874</v>
      </c>
      <c r="P42" s="102">
        <v>-1393</v>
      </c>
      <c r="Q42" s="102">
        <v>-2154</v>
      </c>
      <c r="R42" s="1">
        <v>-5295</v>
      </c>
      <c r="S42" s="1">
        <v>-12555</v>
      </c>
      <c r="T42" s="1">
        <v>-8337</v>
      </c>
      <c r="U42" s="1">
        <v>-1992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-6703</v>
      </c>
      <c r="H43" s="2">
        <v>-27927</v>
      </c>
      <c r="I43" s="2">
        <v>-138532</v>
      </c>
      <c r="J43" s="2">
        <v>-24327</v>
      </c>
      <c r="K43" s="2">
        <v>-8401</v>
      </c>
      <c r="L43" s="2">
        <v>-26528</v>
      </c>
      <c r="M43" s="2">
        <v>-94837</v>
      </c>
      <c r="N43" s="2">
        <v>-10681</v>
      </c>
      <c r="O43" s="102">
        <v>-13379</v>
      </c>
      <c r="P43" s="102">
        <v>-76082</v>
      </c>
      <c r="Q43" s="102">
        <v>-397</v>
      </c>
      <c r="R43" s="1">
        <v>-290811</v>
      </c>
      <c r="S43" s="1">
        <v>-52254</v>
      </c>
      <c r="T43" s="1">
        <v>-579</v>
      </c>
      <c r="U43" s="1">
        <v>-14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-19191</v>
      </c>
      <c r="H44" s="2">
        <v>-20483</v>
      </c>
      <c r="I44" s="2">
        <v>-33887</v>
      </c>
      <c r="J44" s="2">
        <v>-31132</v>
      </c>
      <c r="K44" s="2">
        <v>-26298</v>
      </c>
      <c r="L44" s="2">
        <v>-9126</v>
      </c>
      <c r="M44" s="2">
        <v>-43957</v>
      </c>
      <c r="N44" s="2">
        <v>-11372</v>
      </c>
      <c r="O44" s="106">
        <v>-33049</v>
      </c>
      <c r="P44" s="106">
        <v>-69330</v>
      </c>
      <c r="Q44" s="106">
        <v>-13036</v>
      </c>
      <c r="R44" s="1">
        <v>-12738</v>
      </c>
      <c r="S44" s="1">
        <v>-9529</v>
      </c>
      <c r="T44" s="1">
        <v>-643</v>
      </c>
      <c r="U44" s="1">
        <v>-54286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-15354</v>
      </c>
      <c r="H45" s="2">
        <v>-26655</v>
      </c>
      <c r="I45" s="2">
        <v>-14699</v>
      </c>
      <c r="J45" s="2">
        <v>-9393</v>
      </c>
      <c r="K45" s="2">
        <v>-13998</v>
      </c>
      <c r="L45" s="2">
        <v>-124020</v>
      </c>
      <c r="M45" s="2">
        <v>-3931</v>
      </c>
      <c r="N45" s="2">
        <v>-29808</v>
      </c>
      <c r="O45" s="106">
        <v>-12302</v>
      </c>
      <c r="P45" s="106">
        <v>-15495</v>
      </c>
      <c r="Q45" s="106">
        <v>-106944</v>
      </c>
      <c r="R45" s="1">
        <v>-24662</v>
      </c>
      <c r="S45" s="1">
        <v>-5135</v>
      </c>
      <c r="T45" s="1">
        <v>-38587</v>
      </c>
      <c r="U45" s="1">
        <v>-21573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-35140</v>
      </c>
      <c r="H46" s="2">
        <v>-5986</v>
      </c>
      <c r="I46" s="2">
        <v>-1582</v>
      </c>
      <c r="J46" s="2">
        <v>-5104</v>
      </c>
      <c r="K46" s="2">
        <v>-31251</v>
      </c>
      <c r="L46" s="2">
        <v>-8457</v>
      </c>
      <c r="M46" s="2">
        <v>-2534</v>
      </c>
      <c r="N46" s="2">
        <v>-3740</v>
      </c>
      <c r="O46" s="106">
        <v>-6586</v>
      </c>
      <c r="P46" s="106">
        <v>-7413</v>
      </c>
      <c r="Q46" s="106">
        <v>-1914</v>
      </c>
      <c r="R46" s="1">
        <v>-103726</v>
      </c>
      <c r="S46" s="1">
        <v>-1300</v>
      </c>
      <c r="T46" s="1">
        <v>-3229</v>
      </c>
      <c r="U46" s="1">
        <v>-679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-56535</v>
      </c>
      <c r="H47" s="2">
        <v>-2740</v>
      </c>
      <c r="I47" s="2">
        <v>-30116</v>
      </c>
      <c r="J47" s="2">
        <v>-13890</v>
      </c>
      <c r="K47" s="2">
        <v>-27405</v>
      </c>
      <c r="L47" s="2">
        <v>-34669</v>
      </c>
      <c r="M47" s="2">
        <v>-29790</v>
      </c>
      <c r="N47" s="2">
        <v>-46324</v>
      </c>
      <c r="O47" s="106">
        <v>-70415</v>
      </c>
      <c r="P47" s="106">
        <v>-14861</v>
      </c>
      <c r="Q47" s="106">
        <v>-1159</v>
      </c>
      <c r="R47" s="1">
        <v>-16461</v>
      </c>
      <c r="S47" s="1">
        <v>-112370</v>
      </c>
      <c r="T47" s="1">
        <v>-9045</v>
      </c>
      <c r="U47" s="1">
        <v>-15376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-12068</v>
      </c>
      <c r="H48" s="2">
        <v>-9688</v>
      </c>
      <c r="I48" s="2">
        <v>-164072</v>
      </c>
      <c r="J48" s="2">
        <v>-4907</v>
      </c>
      <c r="K48" s="2">
        <v>-69210</v>
      </c>
      <c r="L48" s="2">
        <v>-28084</v>
      </c>
      <c r="M48" s="2">
        <v>-60738</v>
      </c>
      <c r="N48" s="2">
        <v>-9960</v>
      </c>
      <c r="O48" s="106">
        <v>-14079</v>
      </c>
      <c r="P48" s="106">
        <v>-1564</v>
      </c>
      <c r="Q48" s="106">
        <v>-8169</v>
      </c>
      <c r="R48" s="1">
        <v>-21937</v>
      </c>
      <c r="S48" s="1">
        <v>-3313</v>
      </c>
      <c r="T48" s="1">
        <v>-26435</v>
      </c>
      <c r="U48" s="1">
        <v>-5085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-26996</v>
      </c>
      <c r="H49" s="2">
        <v>-5548</v>
      </c>
      <c r="I49" s="2">
        <v>-16407</v>
      </c>
      <c r="J49" s="2">
        <v>-10328</v>
      </c>
      <c r="K49" s="2">
        <v>-13071</v>
      </c>
      <c r="L49" s="2">
        <v>-32408</v>
      </c>
      <c r="M49" s="2">
        <v>-41641</v>
      </c>
      <c r="N49" s="2">
        <v>-3655</v>
      </c>
      <c r="O49" s="106">
        <v>-25123</v>
      </c>
      <c r="P49" s="106">
        <v>-322713</v>
      </c>
      <c r="Q49" s="106">
        <v>-2761</v>
      </c>
      <c r="R49" s="1">
        <v>-30206</v>
      </c>
      <c r="S49" s="1">
        <v>-1538</v>
      </c>
      <c r="T49" s="1">
        <v>-1091</v>
      </c>
      <c r="U49" s="1">
        <v>-2378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-4175</v>
      </c>
      <c r="H50" s="2">
        <v>-174017</v>
      </c>
      <c r="I50" s="2">
        <v>-2646</v>
      </c>
      <c r="J50" s="2">
        <v>-48281</v>
      </c>
      <c r="K50" s="2">
        <v>-7399</v>
      </c>
      <c r="L50" s="2">
        <v>-3502</v>
      </c>
      <c r="M50" s="2">
        <v>-44290</v>
      </c>
      <c r="N50" s="2">
        <v>-1727</v>
      </c>
      <c r="O50" s="106">
        <v>-39374</v>
      </c>
      <c r="P50" s="106">
        <v>-22729</v>
      </c>
      <c r="Q50" s="106">
        <v>-8363</v>
      </c>
      <c r="R50" s="2">
        <v>-5511</v>
      </c>
      <c r="S50" s="1">
        <v>-1246</v>
      </c>
      <c r="T50" s="1">
        <v>-15339</v>
      </c>
      <c r="U50" s="1">
        <v>-16786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-3692</v>
      </c>
      <c r="H51" s="2">
        <v>-476</v>
      </c>
      <c r="I51" s="2">
        <v>-26590</v>
      </c>
      <c r="J51" s="2">
        <v>-66237</v>
      </c>
      <c r="K51" s="2">
        <v>-32586</v>
      </c>
      <c r="L51" s="2">
        <v>-37696</v>
      </c>
      <c r="M51" s="2">
        <v>-9805</v>
      </c>
      <c r="N51" s="2">
        <v>-20010</v>
      </c>
      <c r="O51" s="106">
        <v>-19787</v>
      </c>
      <c r="P51" s="106">
        <v>-15519</v>
      </c>
      <c r="Q51" s="106">
        <v>-197515</v>
      </c>
      <c r="R51" s="1">
        <v>-2782</v>
      </c>
      <c r="S51" s="1">
        <v>-16331</v>
      </c>
      <c r="T51" s="1">
        <v>-7178</v>
      </c>
      <c r="U51" s="1">
        <v>-8334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-8079</v>
      </c>
      <c r="H52" s="2">
        <v>-59520</v>
      </c>
      <c r="I52" s="2">
        <v>-107760</v>
      </c>
      <c r="J52" s="2">
        <v>-30402</v>
      </c>
      <c r="K52" s="2">
        <v>-19726</v>
      </c>
      <c r="L52" s="2">
        <v>-11478</v>
      </c>
      <c r="M52" s="2">
        <v>-2183</v>
      </c>
      <c r="N52" s="2">
        <v>-14551</v>
      </c>
      <c r="O52" s="106">
        <v>-3566</v>
      </c>
      <c r="P52" s="106">
        <v>-18484</v>
      </c>
      <c r="Q52" s="106">
        <v>-1663</v>
      </c>
      <c r="R52" s="1">
        <v>-71770</v>
      </c>
      <c r="S52" s="1">
        <v>-52613</v>
      </c>
      <c r="T52" s="1">
        <v>-6143</v>
      </c>
      <c r="U52" s="1">
        <v>-176</v>
      </c>
    </row>
    <row r="53" spans="1:21" x14ac:dyDescent="0.2">
      <c r="A53" s="26" t="s">
        <v>11</v>
      </c>
      <c r="B53" s="162"/>
      <c r="C53" s="162"/>
      <c r="D53" s="162"/>
      <c r="E53" s="162"/>
      <c r="F53" s="39">
        <v>-24509</v>
      </c>
      <c r="G53" s="39">
        <v>-3872</v>
      </c>
      <c r="H53" s="39">
        <v>-874</v>
      </c>
      <c r="I53" s="39">
        <v>-26975</v>
      </c>
      <c r="J53" s="39">
        <v>-49123</v>
      </c>
      <c r="K53" s="39">
        <v>-8240</v>
      </c>
      <c r="L53" s="39">
        <v>-238148</v>
      </c>
      <c r="M53" s="39">
        <v>-15315</v>
      </c>
      <c r="N53" s="39">
        <v>-972</v>
      </c>
      <c r="O53" s="95">
        <v>-3207</v>
      </c>
      <c r="P53" s="95">
        <v>-22291</v>
      </c>
      <c r="Q53" s="95">
        <v>-11247</v>
      </c>
      <c r="R53" s="1">
        <v>-16882</v>
      </c>
      <c r="S53" s="1">
        <v>-3534</v>
      </c>
      <c r="T53" s="1">
        <v>-26706</v>
      </c>
      <c r="U53" s="1">
        <v>-217</v>
      </c>
    </row>
    <row r="54" spans="1:21" x14ac:dyDescent="0.2">
      <c r="A54" s="94"/>
      <c r="B54" s="126"/>
      <c r="C54" s="126"/>
      <c r="D54" s="126"/>
      <c r="E54" s="126"/>
      <c r="F54" s="126">
        <f t="shared" ref="F54:N54" si="13">SUM(F42:F53)</f>
        <v>-24509</v>
      </c>
      <c r="G54" s="126">
        <f t="shared" si="13"/>
        <v>-199387</v>
      </c>
      <c r="H54" s="126">
        <f t="shared" si="13"/>
        <v>-749282</v>
      </c>
      <c r="I54" s="126">
        <f t="shared" si="13"/>
        <v>-563526</v>
      </c>
      <c r="J54" s="126">
        <f t="shared" si="13"/>
        <v>-316713</v>
      </c>
      <c r="K54" s="126">
        <f t="shared" si="13"/>
        <v>-270570</v>
      </c>
      <c r="L54" s="126">
        <f t="shared" si="13"/>
        <v>-584318</v>
      </c>
      <c r="M54" s="126">
        <f t="shared" si="13"/>
        <v>-351201</v>
      </c>
      <c r="N54" s="126">
        <f t="shared" si="13"/>
        <v>-180382</v>
      </c>
      <c r="O54" s="96">
        <f t="shared" ref="O54:P54" si="14">SUM(O42:O53)</f>
        <v>-245741</v>
      </c>
      <c r="P54" s="96">
        <f t="shared" si="14"/>
        <v>-587874</v>
      </c>
      <c r="Q54" s="96">
        <f t="shared" ref="Q54" si="15">SUM(Q42:Q53)</f>
        <v>-355322</v>
      </c>
      <c r="R54" s="126">
        <f t="shared" ref="R54:S54" si="16">SUM(R42:R53)</f>
        <v>-602781</v>
      </c>
      <c r="S54" s="126">
        <f t="shared" si="16"/>
        <v>-271718</v>
      </c>
      <c r="T54" s="126">
        <f t="shared" ref="T54:U54" si="17">SUM(T42:T53)</f>
        <v>-143312</v>
      </c>
      <c r="U54" s="126">
        <f t="shared" si="17"/>
        <v>-126896</v>
      </c>
    </row>
    <row r="55" spans="1:21" x14ac:dyDescent="0.2">
      <c r="A55" s="25"/>
      <c r="B55" s="31"/>
      <c r="C55" s="31"/>
      <c r="D55" s="31"/>
      <c r="E55" s="31"/>
      <c r="F55" s="31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</row>
    <row r="56" spans="1:21" x14ac:dyDescent="0.2">
      <c r="A56" s="25"/>
      <c r="B56" s="2"/>
    </row>
    <row r="57" spans="1:21" x14ac:dyDescent="0.2">
      <c r="A57" s="29" t="s">
        <v>153</v>
      </c>
      <c r="B57" s="2"/>
      <c r="D57" s="147">
        <v>0.03</v>
      </c>
      <c r="E57" t="s">
        <v>181</v>
      </c>
    </row>
    <row r="58" spans="1:21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6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B59" s="2"/>
    </row>
    <row r="60" spans="1:21" x14ac:dyDescent="0.2">
      <c r="A60" s="26" t="s">
        <v>0</v>
      </c>
      <c r="B60" s="1"/>
      <c r="C60" s="1">
        <v>2030</v>
      </c>
      <c r="D60" s="1">
        <v>2460</v>
      </c>
      <c r="E60" s="1">
        <v>2581</v>
      </c>
      <c r="F60" s="1"/>
      <c r="G60" s="1">
        <v>2552</v>
      </c>
      <c r="H60" s="2">
        <v>3167</v>
      </c>
      <c r="I60" s="2">
        <v>4305</v>
      </c>
      <c r="J60" s="2">
        <v>5190</v>
      </c>
      <c r="K60" s="2">
        <v>4869</v>
      </c>
      <c r="L60" s="113">
        <v>5174</v>
      </c>
      <c r="M60" s="102">
        <v>2647</v>
      </c>
      <c r="N60" s="102">
        <v>3560</v>
      </c>
      <c r="O60" s="102">
        <v>3700</v>
      </c>
      <c r="P60" s="102">
        <v>2922</v>
      </c>
      <c r="Q60" s="102">
        <v>-74539</v>
      </c>
      <c r="R60" s="1">
        <v>16230</v>
      </c>
      <c r="S60" s="1">
        <v>8108</v>
      </c>
      <c r="T60" s="1">
        <v>16690</v>
      </c>
      <c r="U60" s="1">
        <v>22949</v>
      </c>
    </row>
    <row r="61" spans="1:21" x14ac:dyDescent="0.2">
      <c r="A61" s="26" t="s">
        <v>1</v>
      </c>
      <c r="B61" s="1"/>
      <c r="C61" s="1">
        <v>2113</v>
      </c>
      <c r="D61" s="1">
        <v>2632</v>
      </c>
      <c r="E61" s="1">
        <v>2492</v>
      </c>
      <c r="F61" s="1"/>
      <c r="G61" s="1">
        <v>2648</v>
      </c>
      <c r="H61" s="2">
        <v>2575</v>
      </c>
      <c r="I61" s="2">
        <v>3910</v>
      </c>
      <c r="J61" s="2">
        <v>4259</v>
      </c>
      <c r="K61" s="2">
        <v>4389</v>
      </c>
      <c r="L61" s="113">
        <v>4156</v>
      </c>
      <c r="M61" s="102">
        <v>3765</v>
      </c>
      <c r="N61" s="102">
        <v>2719</v>
      </c>
      <c r="O61" s="102">
        <v>6025</v>
      </c>
      <c r="P61" s="102">
        <v>5096</v>
      </c>
      <c r="Q61" s="102">
        <v>14749</v>
      </c>
      <c r="R61" s="113">
        <v>15667</v>
      </c>
      <c r="S61" s="1">
        <v>-34517</v>
      </c>
      <c r="T61" s="1">
        <v>18771</v>
      </c>
      <c r="U61" s="1">
        <v>26737</v>
      </c>
    </row>
    <row r="62" spans="1:21" x14ac:dyDescent="0.2">
      <c r="A62" s="26" t="s">
        <v>2</v>
      </c>
      <c r="B62" s="1"/>
      <c r="C62" s="1">
        <v>1914</v>
      </c>
      <c r="D62" s="1">
        <v>2226</v>
      </c>
      <c r="E62" s="1">
        <v>2188</v>
      </c>
      <c r="F62" s="1"/>
      <c r="G62" s="1">
        <v>-14107</v>
      </c>
      <c r="H62" s="2">
        <v>2633</v>
      </c>
      <c r="I62" s="2">
        <v>4760</v>
      </c>
      <c r="J62" s="2">
        <v>5180</v>
      </c>
      <c r="K62" s="2">
        <v>5011</v>
      </c>
      <c r="L62" s="113">
        <v>4241</v>
      </c>
      <c r="M62" s="106">
        <v>1856</v>
      </c>
      <c r="N62" s="106">
        <v>6408</v>
      </c>
      <c r="O62" s="106">
        <v>2025</v>
      </c>
      <c r="P62" s="106">
        <v>10986</v>
      </c>
      <c r="Q62" s="106">
        <v>12748</v>
      </c>
      <c r="R62" s="113">
        <v>15965</v>
      </c>
      <c r="S62" s="1">
        <v>11216</v>
      </c>
      <c r="T62" s="1">
        <v>20325</v>
      </c>
      <c r="U62" s="1">
        <v>25934</v>
      </c>
    </row>
    <row r="63" spans="1:21" x14ac:dyDescent="0.2">
      <c r="A63" s="26" t="s">
        <v>3</v>
      </c>
      <c r="B63" s="1"/>
      <c r="C63" s="1">
        <v>1905</v>
      </c>
      <c r="D63" s="1">
        <v>2593</v>
      </c>
      <c r="E63" s="1">
        <v>2507</v>
      </c>
      <c r="F63" s="1"/>
      <c r="G63" s="1">
        <v>2843</v>
      </c>
      <c r="H63" s="2">
        <v>4066</v>
      </c>
      <c r="I63" s="2">
        <v>5495</v>
      </c>
      <c r="J63" s="2">
        <v>6550</v>
      </c>
      <c r="K63" s="2">
        <v>5963</v>
      </c>
      <c r="L63" s="113">
        <v>5239</v>
      </c>
      <c r="M63" s="106">
        <v>2651</v>
      </c>
      <c r="N63" s="106">
        <v>3117</v>
      </c>
      <c r="O63" s="106">
        <v>3320</v>
      </c>
      <c r="P63" s="106">
        <v>4548</v>
      </c>
      <c r="Q63" s="106">
        <v>66703</v>
      </c>
      <c r="R63" s="117">
        <v>3623</v>
      </c>
      <c r="S63" s="1">
        <v>19060</v>
      </c>
      <c r="T63" s="1">
        <v>30071</v>
      </c>
      <c r="U63" s="1">
        <v>32917</v>
      </c>
    </row>
    <row r="64" spans="1:21" x14ac:dyDescent="0.2">
      <c r="A64" s="26" t="s">
        <v>4</v>
      </c>
      <c r="B64" s="1">
        <v>397</v>
      </c>
      <c r="C64" s="1">
        <v>2111</v>
      </c>
      <c r="D64" s="1">
        <v>2280</v>
      </c>
      <c r="E64" s="1">
        <v>2369</v>
      </c>
      <c r="F64" s="1"/>
      <c r="G64" s="1">
        <v>2565</v>
      </c>
      <c r="H64" s="2">
        <v>3423</v>
      </c>
      <c r="I64" s="2">
        <v>5392</v>
      </c>
      <c r="J64" s="2">
        <v>4850</v>
      </c>
      <c r="K64" s="2">
        <v>5302</v>
      </c>
      <c r="L64" s="113">
        <v>4606</v>
      </c>
      <c r="M64" s="106">
        <v>1977</v>
      </c>
      <c r="N64" s="106">
        <v>2402</v>
      </c>
      <c r="O64" s="106">
        <v>2943</v>
      </c>
      <c r="P64" s="106">
        <v>3219</v>
      </c>
      <c r="Q64" s="106">
        <v>15061</v>
      </c>
      <c r="R64" s="117">
        <v>1721</v>
      </c>
      <c r="S64" s="1">
        <v>18980</v>
      </c>
      <c r="T64" s="1">
        <v>27693</v>
      </c>
      <c r="U64" s="1">
        <v>34296</v>
      </c>
    </row>
    <row r="65" spans="1:21" x14ac:dyDescent="0.2">
      <c r="A65" s="26" t="s">
        <v>5</v>
      </c>
      <c r="B65" s="1">
        <v>943</v>
      </c>
      <c r="C65" s="1">
        <v>2203</v>
      </c>
      <c r="D65" s="1">
        <v>2528</v>
      </c>
      <c r="E65" s="1">
        <v>2451</v>
      </c>
      <c r="F65" s="1"/>
      <c r="G65" s="1">
        <v>2585</v>
      </c>
      <c r="H65" s="2">
        <v>3497</v>
      </c>
      <c r="I65" s="2">
        <v>4476</v>
      </c>
      <c r="J65" s="2">
        <v>5413</v>
      </c>
      <c r="K65" s="2">
        <v>5141</v>
      </c>
      <c r="L65" s="113">
        <v>5449</v>
      </c>
      <c r="M65" s="106">
        <v>2622</v>
      </c>
      <c r="N65" s="106">
        <v>2408</v>
      </c>
      <c r="O65" s="106">
        <v>2653</v>
      </c>
      <c r="P65" s="106">
        <v>3030</v>
      </c>
      <c r="Q65" s="106">
        <v>17421</v>
      </c>
      <c r="R65" s="106">
        <v>-247502</v>
      </c>
      <c r="S65" s="1">
        <v>19426</v>
      </c>
      <c r="T65" s="1">
        <v>28905</v>
      </c>
      <c r="U65" s="1">
        <v>37641</v>
      </c>
    </row>
    <row r="66" spans="1:21" x14ac:dyDescent="0.2">
      <c r="A66" s="26" t="s">
        <v>6</v>
      </c>
      <c r="B66" s="1">
        <v>3907</v>
      </c>
      <c r="C66" s="1">
        <v>2253</v>
      </c>
      <c r="D66" s="1">
        <v>3005</v>
      </c>
      <c r="E66" s="1">
        <v>2667</v>
      </c>
      <c r="F66" s="1"/>
      <c r="G66" s="1">
        <v>3456</v>
      </c>
      <c r="H66" s="2">
        <v>4621</v>
      </c>
      <c r="I66" s="2">
        <v>6641</v>
      </c>
      <c r="J66" s="2">
        <v>6610</v>
      </c>
      <c r="K66" s="2">
        <v>7316</v>
      </c>
      <c r="L66" s="113">
        <v>7715</v>
      </c>
      <c r="M66" s="106">
        <v>3555</v>
      </c>
      <c r="N66" s="106">
        <v>3573</v>
      </c>
      <c r="O66" s="106">
        <v>5134</v>
      </c>
      <c r="P66" s="106">
        <v>6031</v>
      </c>
      <c r="Q66" s="106">
        <v>19638</v>
      </c>
      <c r="R66" s="1">
        <v>8750</v>
      </c>
      <c r="S66" s="1">
        <v>20378</v>
      </c>
      <c r="T66" s="1">
        <v>29398</v>
      </c>
      <c r="U66" s="1">
        <v>39924</v>
      </c>
    </row>
    <row r="67" spans="1:21" x14ac:dyDescent="0.2">
      <c r="A67" s="26" t="s">
        <v>7</v>
      </c>
      <c r="B67" s="1">
        <v>1178</v>
      </c>
      <c r="C67" s="1">
        <v>2659</v>
      </c>
      <c r="D67" s="1">
        <v>2868</v>
      </c>
      <c r="E67" s="1">
        <v>2120</v>
      </c>
      <c r="F67" s="1"/>
      <c r="G67" s="1">
        <v>3939</v>
      </c>
      <c r="H67" s="2">
        <v>6931</v>
      </c>
      <c r="I67" s="2">
        <v>5412</v>
      </c>
      <c r="J67" s="2">
        <v>6269</v>
      </c>
      <c r="K67" s="2">
        <v>5935</v>
      </c>
      <c r="L67" s="113">
        <v>2379</v>
      </c>
      <c r="M67" s="106">
        <v>2287</v>
      </c>
      <c r="N67" s="106">
        <v>3046</v>
      </c>
      <c r="O67" s="106">
        <v>2834</v>
      </c>
      <c r="P67" s="106">
        <v>3727</v>
      </c>
      <c r="Q67" s="106">
        <v>17341</v>
      </c>
      <c r="R67" s="1">
        <v>54731</v>
      </c>
      <c r="S67" s="1">
        <v>19410</v>
      </c>
      <c r="T67" s="1">
        <v>28412</v>
      </c>
      <c r="U67" s="1">
        <v>39752</v>
      </c>
    </row>
    <row r="68" spans="1:21" x14ac:dyDescent="0.2">
      <c r="A68" s="26" t="s">
        <v>8</v>
      </c>
      <c r="B68" s="1">
        <v>1281</v>
      </c>
      <c r="C68" s="1">
        <v>2679</v>
      </c>
      <c r="D68" s="1">
        <v>2983</v>
      </c>
      <c r="E68" s="1">
        <v>3112</v>
      </c>
      <c r="F68" s="1"/>
      <c r="G68" s="1">
        <v>3159</v>
      </c>
      <c r="H68" s="2">
        <v>5184</v>
      </c>
      <c r="I68" s="2">
        <v>5923</v>
      </c>
      <c r="J68" s="2">
        <v>6427</v>
      </c>
      <c r="K68" s="2">
        <v>6351</v>
      </c>
      <c r="L68" s="113">
        <v>2548</v>
      </c>
      <c r="M68" s="106">
        <v>2900</v>
      </c>
      <c r="N68" s="106">
        <v>3191</v>
      </c>
      <c r="O68" s="106">
        <v>3178</v>
      </c>
      <c r="P68" s="106">
        <v>4346</v>
      </c>
      <c r="Q68" s="106">
        <v>16930</v>
      </c>
      <c r="R68" s="2">
        <v>12203</v>
      </c>
      <c r="S68" s="1">
        <v>17110</v>
      </c>
      <c r="T68" s="1">
        <v>28084</v>
      </c>
      <c r="U68" s="1">
        <v>43001</v>
      </c>
    </row>
    <row r="69" spans="1:21" x14ac:dyDescent="0.2">
      <c r="A69" s="26" t="s">
        <v>9</v>
      </c>
      <c r="B69" s="1">
        <v>4441</v>
      </c>
      <c r="C69" s="1">
        <v>2708</v>
      </c>
      <c r="D69" s="1">
        <v>2825</v>
      </c>
      <c r="E69" s="1">
        <v>2530</v>
      </c>
      <c r="F69" s="1"/>
      <c r="G69" s="1">
        <v>3621</v>
      </c>
      <c r="H69" s="2">
        <v>5512</v>
      </c>
      <c r="I69" s="2">
        <v>6870</v>
      </c>
      <c r="J69" s="2">
        <v>6383</v>
      </c>
      <c r="K69" s="2">
        <v>6361</v>
      </c>
      <c r="L69" s="113">
        <v>3275</v>
      </c>
      <c r="M69" s="106">
        <v>4577</v>
      </c>
      <c r="N69" s="106">
        <v>4347</v>
      </c>
      <c r="O69" s="106">
        <v>3824</v>
      </c>
      <c r="P69" s="106">
        <v>4822</v>
      </c>
      <c r="Q69" s="106">
        <v>17701</v>
      </c>
      <c r="R69" s="1">
        <v>12428</v>
      </c>
      <c r="S69" s="1">
        <v>18888</v>
      </c>
      <c r="T69" s="1">
        <v>31634</v>
      </c>
      <c r="U69" s="1">
        <v>38063</v>
      </c>
    </row>
    <row r="70" spans="1:21" x14ac:dyDescent="0.2">
      <c r="A70" s="26" t="s">
        <v>10</v>
      </c>
      <c r="B70" s="53">
        <v>2114</v>
      </c>
      <c r="C70" s="53">
        <v>2515</v>
      </c>
      <c r="D70" s="53">
        <v>2687</v>
      </c>
      <c r="E70" s="53">
        <v>2476</v>
      </c>
      <c r="F70" s="53"/>
      <c r="G70" s="1">
        <v>2641</v>
      </c>
      <c r="H70" s="2">
        <v>3603</v>
      </c>
      <c r="I70" s="2">
        <v>5102</v>
      </c>
      <c r="J70" s="2">
        <v>5836</v>
      </c>
      <c r="K70" s="2">
        <v>4425</v>
      </c>
      <c r="L70" s="113">
        <v>2344</v>
      </c>
      <c r="M70" s="106">
        <v>2520</v>
      </c>
      <c r="N70" s="106">
        <v>2902</v>
      </c>
      <c r="O70" s="106">
        <v>1812</v>
      </c>
      <c r="P70" s="106">
        <v>295594</v>
      </c>
      <c r="Q70" s="106">
        <v>12934</v>
      </c>
      <c r="R70" s="1">
        <v>10448</v>
      </c>
      <c r="S70" s="1">
        <v>19016</v>
      </c>
      <c r="T70" s="1">
        <v>23584</v>
      </c>
      <c r="U70" s="1">
        <v>34720</v>
      </c>
    </row>
    <row r="71" spans="1:21" x14ac:dyDescent="0.2">
      <c r="A71" s="26" t="s">
        <v>11</v>
      </c>
      <c r="B71" s="39">
        <v>1985</v>
      </c>
      <c r="C71" s="39">
        <v>2220</v>
      </c>
      <c r="D71" s="39">
        <v>2401</v>
      </c>
      <c r="E71" s="39">
        <v>2306</v>
      </c>
      <c r="F71" s="39">
        <v>21584</v>
      </c>
      <c r="G71" s="39">
        <v>2476</v>
      </c>
      <c r="H71" s="40">
        <v>4973</v>
      </c>
      <c r="I71" s="40">
        <v>6914</v>
      </c>
      <c r="J71" s="40">
        <v>4497</v>
      </c>
      <c r="K71" s="40">
        <v>3821</v>
      </c>
      <c r="L71" s="40">
        <v>1979</v>
      </c>
      <c r="M71" s="95">
        <v>2068</v>
      </c>
      <c r="N71" s="95">
        <v>2117</v>
      </c>
      <c r="O71" s="95">
        <v>1711</v>
      </c>
      <c r="P71" s="95">
        <v>106139</v>
      </c>
      <c r="Q71" s="95">
        <v>11322</v>
      </c>
      <c r="R71" s="1">
        <v>6751</v>
      </c>
      <c r="S71" s="1">
        <v>17730</v>
      </c>
      <c r="T71" s="1">
        <v>21165</v>
      </c>
      <c r="U71" s="1">
        <v>30922</v>
      </c>
    </row>
    <row r="72" spans="1:21" x14ac:dyDescent="0.2">
      <c r="A72" s="25"/>
      <c r="B72" s="64">
        <f t="shared" ref="B72:H72" si="18">SUM(B60:B71)</f>
        <v>16246</v>
      </c>
      <c r="C72" s="64">
        <f t="shared" si="18"/>
        <v>27310</v>
      </c>
      <c r="D72" s="64">
        <f t="shared" si="18"/>
        <v>31488</v>
      </c>
      <c r="E72" s="64">
        <f t="shared" si="18"/>
        <v>29799</v>
      </c>
      <c r="F72" s="64">
        <f t="shared" si="18"/>
        <v>21584</v>
      </c>
      <c r="G72" s="64">
        <f t="shared" si="18"/>
        <v>18378</v>
      </c>
      <c r="H72" s="64">
        <f t="shared" si="18"/>
        <v>50185</v>
      </c>
      <c r="I72" s="64">
        <f t="shared" ref="I72:N72" si="19">SUM(I60:I71)</f>
        <v>65200</v>
      </c>
      <c r="J72" s="64">
        <f t="shared" si="19"/>
        <v>67464</v>
      </c>
      <c r="K72" s="64">
        <f t="shared" si="19"/>
        <v>64884</v>
      </c>
      <c r="L72" s="64">
        <f t="shared" si="19"/>
        <v>49105</v>
      </c>
      <c r="M72" s="96">
        <f t="shared" si="19"/>
        <v>33425</v>
      </c>
      <c r="N72" s="96">
        <f t="shared" si="19"/>
        <v>39790</v>
      </c>
      <c r="O72" s="96">
        <f t="shared" ref="O72:P72" si="20">SUM(O60:O71)</f>
        <v>39159</v>
      </c>
      <c r="P72" s="96">
        <f t="shared" si="20"/>
        <v>450460</v>
      </c>
      <c r="Q72" s="96">
        <f t="shared" ref="Q72" si="21">SUM(Q60:Q71)</f>
        <v>148009</v>
      </c>
      <c r="R72" s="126">
        <f t="shared" ref="R72:S72" si="22">SUM(R60:R71)</f>
        <v>-88985</v>
      </c>
      <c r="S72" s="126">
        <f t="shared" si="22"/>
        <v>154805</v>
      </c>
      <c r="T72" s="126">
        <f t="shared" ref="T72:U72" si="23">SUM(T60:T71)</f>
        <v>304732</v>
      </c>
      <c r="U72" s="126">
        <f t="shared" si="23"/>
        <v>406856</v>
      </c>
    </row>
    <row r="73" spans="1:21" x14ac:dyDescent="0.2">
      <c r="A73" s="25"/>
      <c r="B73" s="2"/>
    </row>
    <row r="74" spans="1:21" x14ac:dyDescent="0.2">
      <c r="A74" s="25"/>
      <c r="B74" s="2"/>
    </row>
    <row r="75" spans="1:21" x14ac:dyDescent="0.2">
      <c r="A75" s="25"/>
      <c r="B75" s="2"/>
    </row>
    <row r="76" spans="1:21" x14ac:dyDescent="0.2">
      <c r="A76" s="29" t="s">
        <v>154</v>
      </c>
      <c r="B76" s="2"/>
      <c r="D76" s="144">
        <v>7.0000000000000007E-2</v>
      </c>
      <c r="E76" t="s">
        <v>371</v>
      </c>
    </row>
    <row r="77" spans="1:21" x14ac:dyDescent="0.2">
      <c r="A77" s="25"/>
      <c r="B77" s="16">
        <v>2004</v>
      </c>
      <c r="C77" s="16">
        <v>2005</v>
      </c>
      <c r="D77" s="16">
        <v>2006</v>
      </c>
      <c r="E77" s="16">
        <v>2007</v>
      </c>
      <c r="F77" s="16">
        <v>2008</v>
      </c>
      <c r="G77" s="16">
        <v>2009</v>
      </c>
      <c r="H77" s="16">
        <v>2010</v>
      </c>
      <c r="I77" s="16">
        <v>2011</v>
      </c>
      <c r="J77" s="18">
        <v>2012</v>
      </c>
      <c r="K77" s="18">
        <v>2013</v>
      </c>
      <c r="L77" s="18">
        <v>2014</v>
      </c>
      <c r="M77" s="18">
        <v>2015</v>
      </c>
      <c r="N77" s="86">
        <v>2016</v>
      </c>
      <c r="O77" s="86">
        <v>2017</v>
      </c>
      <c r="P77" s="86">
        <v>2018</v>
      </c>
      <c r="Q77" s="86">
        <v>2019</v>
      </c>
      <c r="R77" s="86">
        <v>2020</v>
      </c>
      <c r="S77" s="86">
        <v>2021</v>
      </c>
      <c r="T77" s="86">
        <v>2022</v>
      </c>
      <c r="U77" s="86">
        <v>2023</v>
      </c>
    </row>
    <row r="78" spans="1:21" x14ac:dyDescent="0.2">
      <c r="A78" s="25"/>
      <c r="B78" s="2"/>
    </row>
    <row r="79" spans="1:21" x14ac:dyDescent="0.2">
      <c r="A79" s="26" t="s">
        <v>0</v>
      </c>
      <c r="B79" s="1"/>
      <c r="C79" s="1">
        <v>143542</v>
      </c>
      <c r="D79" s="1">
        <v>213378</v>
      </c>
      <c r="E79" s="1">
        <v>175664</v>
      </c>
      <c r="F79" s="1">
        <v>173357</v>
      </c>
      <c r="G79" s="1">
        <v>227336</v>
      </c>
      <c r="H79" s="2">
        <v>159255</v>
      </c>
      <c r="I79" s="2">
        <v>167079</v>
      </c>
      <c r="J79" s="2">
        <v>171590</v>
      </c>
      <c r="K79" s="2">
        <v>156476</v>
      </c>
      <c r="L79" s="114">
        <v>191806</v>
      </c>
      <c r="M79" s="102">
        <v>205432</v>
      </c>
      <c r="N79" s="102">
        <v>231242</v>
      </c>
      <c r="O79" s="102">
        <v>246952</v>
      </c>
      <c r="P79" s="102">
        <v>252734</v>
      </c>
      <c r="Q79" s="102">
        <v>257066</v>
      </c>
      <c r="R79" s="1">
        <v>266036</v>
      </c>
      <c r="S79" s="1">
        <v>86325</v>
      </c>
      <c r="T79" s="1">
        <v>227671</v>
      </c>
      <c r="U79" s="1">
        <v>261827</v>
      </c>
    </row>
    <row r="80" spans="1:21" x14ac:dyDescent="0.2">
      <c r="A80" s="26" t="s">
        <v>1</v>
      </c>
      <c r="B80" s="1"/>
      <c r="C80" s="1">
        <v>159070</v>
      </c>
      <c r="D80" s="1">
        <f>185681+103</f>
        <v>185784</v>
      </c>
      <c r="E80" s="1">
        <v>176483</v>
      </c>
      <c r="F80" s="1">
        <v>247879</v>
      </c>
      <c r="G80" s="1">
        <v>195855</v>
      </c>
      <c r="H80" s="2">
        <v>184621</v>
      </c>
      <c r="I80" s="2">
        <v>203130</v>
      </c>
      <c r="J80" s="2">
        <v>206637</v>
      </c>
      <c r="K80" s="2">
        <v>218114</v>
      </c>
      <c r="L80" s="114">
        <v>212468</v>
      </c>
      <c r="M80" s="102">
        <v>252236</v>
      </c>
      <c r="N80" s="102">
        <v>272391</v>
      </c>
      <c r="O80" s="102">
        <v>252396</v>
      </c>
      <c r="P80" s="102">
        <v>293624</v>
      </c>
      <c r="Q80" s="102">
        <v>237049</v>
      </c>
      <c r="R80" s="1">
        <v>340148</v>
      </c>
      <c r="S80" s="1">
        <v>81505</v>
      </c>
      <c r="T80" s="1">
        <v>171864</v>
      </c>
      <c r="U80" s="1">
        <v>259818</v>
      </c>
    </row>
    <row r="81" spans="1:21" x14ac:dyDescent="0.2">
      <c r="A81" s="26" t="s">
        <v>2</v>
      </c>
      <c r="B81" s="1"/>
      <c r="C81" s="1">
        <v>197753</v>
      </c>
      <c r="D81" s="1">
        <v>180692</v>
      </c>
      <c r="E81" s="1">
        <v>198369</v>
      </c>
      <c r="F81" s="1">
        <v>244874</v>
      </c>
      <c r="G81" s="1">
        <v>202298</v>
      </c>
      <c r="H81" s="2">
        <v>174755</v>
      </c>
      <c r="I81" s="2">
        <v>198605</v>
      </c>
      <c r="J81" s="2">
        <v>232461</v>
      </c>
      <c r="K81" s="2">
        <v>228965</v>
      </c>
      <c r="L81" s="114">
        <v>248072</v>
      </c>
      <c r="M81" s="106">
        <v>259345</v>
      </c>
      <c r="N81" s="106">
        <v>321383</v>
      </c>
      <c r="O81" s="106">
        <v>329116</v>
      </c>
      <c r="P81" s="106">
        <v>446920</v>
      </c>
      <c r="Q81" s="106">
        <v>313546</v>
      </c>
      <c r="R81" s="113">
        <v>379173</v>
      </c>
      <c r="S81" s="1">
        <v>76665</v>
      </c>
      <c r="T81" s="1">
        <v>181172</v>
      </c>
      <c r="U81" s="1">
        <v>304354</v>
      </c>
    </row>
    <row r="82" spans="1:21" x14ac:dyDescent="0.2">
      <c r="A82" s="26" t="s">
        <v>3</v>
      </c>
      <c r="B82" s="1"/>
      <c r="C82" s="1">
        <v>233196</v>
      </c>
      <c r="D82" s="1">
        <v>281952</v>
      </c>
      <c r="E82" s="1">
        <v>277114</v>
      </c>
      <c r="F82" s="1">
        <v>314709</v>
      </c>
      <c r="G82" s="1">
        <v>327450</v>
      </c>
      <c r="H82" s="2">
        <v>305268</v>
      </c>
      <c r="I82" s="2">
        <v>305209</v>
      </c>
      <c r="J82" s="2">
        <v>315199</v>
      </c>
      <c r="K82" s="2">
        <v>311910</v>
      </c>
      <c r="L82" s="114">
        <v>301148</v>
      </c>
      <c r="M82" s="106">
        <v>283141</v>
      </c>
      <c r="N82" s="106">
        <v>317495</v>
      </c>
      <c r="O82" s="106">
        <v>421181</v>
      </c>
      <c r="P82" s="106">
        <v>393602</v>
      </c>
      <c r="Q82" s="106">
        <v>385572</v>
      </c>
      <c r="R82" s="117">
        <v>187626</v>
      </c>
      <c r="S82" s="1">
        <v>101742</v>
      </c>
      <c r="T82" s="1">
        <v>434115</v>
      </c>
      <c r="U82" s="1">
        <v>456459</v>
      </c>
    </row>
    <row r="83" spans="1:21" x14ac:dyDescent="0.2">
      <c r="A83" s="26" t="s">
        <v>4</v>
      </c>
      <c r="B83" s="1">
        <v>225244</v>
      </c>
      <c r="C83" s="1">
        <v>226986</v>
      </c>
      <c r="D83" s="1">
        <v>244114</v>
      </c>
      <c r="E83" s="1">
        <v>250307</v>
      </c>
      <c r="F83" s="1">
        <v>311798.81</v>
      </c>
      <c r="G83" s="1">
        <v>194661</v>
      </c>
      <c r="H83" s="2">
        <v>227014</v>
      </c>
      <c r="I83" s="2">
        <v>262064</v>
      </c>
      <c r="J83" s="2">
        <v>243817</v>
      </c>
      <c r="K83" s="2">
        <v>293646</v>
      </c>
      <c r="L83" s="114">
        <v>259559</v>
      </c>
      <c r="M83" s="106">
        <v>290521</v>
      </c>
      <c r="N83" s="106">
        <v>347885</v>
      </c>
      <c r="O83" s="106">
        <v>327052</v>
      </c>
      <c r="P83" s="106">
        <v>386772</v>
      </c>
      <c r="Q83" s="106">
        <v>383204</v>
      </c>
      <c r="R83" s="117">
        <v>55952</v>
      </c>
      <c r="S83" s="1">
        <v>124135</v>
      </c>
      <c r="T83" s="1">
        <v>331687</v>
      </c>
      <c r="U83" s="1">
        <v>349000</v>
      </c>
    </row>
    <row r="84" spans="1:21" x14ac:dyDescent="0.2">
      <c r="A84" s="26" t="s">
        <v>5</v>
      </c>
      <c r="B84" s="1">
        <v>223800</v>
      </c>
      <c r="C84" s="1">
        <v>256778</v>
      </c>
      <c r="D84" s="1">
        <v>236899</v>
      </c>
      <c r="E84" s="1">
        <v>248329</v>
      </c>
      <c r="F84" s="1">
        <v>255858</v>
      </c>
      <c r="G84" s="1">
        <v>217835</v>
      </c>
      <c r="H84" s="2">
        <v>254424</v>
      </c>
      <c r="I84" s="2">
        <v>244256</v>
      </c>
      <c r="J84" s="2">
        <v>260561</v>
      </c>
      <c r="K84" s="2">
        <v>280410</v>
      </c>
      <c r="L84" s="114">
        <v>263273</v>
      </c>
      <c r="M84" s="106">
        <v>376573</v>
      </c>
      <c r="N84" s="106">
        <v>314186</v>
      </c>
      <c r="O84" s="106">
        <v>339505</v>
      </c>
      <c r="P84" s="106">
        <v>325950</v>
      </c>
      <c r="Q84" s="106">
        <v>325370</v>
      </c>
      <c r="R84" s="1">
        <v>69416</v>
      </c>
      <c r="S84" s="1">
        <v>146970</v>
      </c>
      <c r="T84" s="1">
        <v>329045</v>
      </c>
      <c r="U84" s="1">
        <v>386607</v>
      </c>
    </row>
    <row r="85" spans="1:21" x14ac:dyDescent="0.2">
      <c r="A85" s="26" t="s">
        <v>6</v>
      </c>
      <c r="B85" s="1">
        <v>163660</v>
      </c>
      <c r="C85" s="1">
        <v>172635</v>
      </c>
      <c r="D85" s="1">
        <v>133104</v>
      </c>
      <c r="E85" s="1">
        <v>134796</v>
      </c>
      <c r="F85" s="1">
        <v>196764</v>
      </c>
      <c r="G85" s="1">
        <v>191111</v>
      </c>
      <c r="H85" s="2">
        <v>281289</v>
      </c>
      <c r="I85" s="2">
        <v>227434</v>
      </c>
      <c r="J85" s="2">
        <v>268190</v>
      </c>
      <c r="K85" s="2">
        <v>268121</v>
      </c>
      <c r="L85" s="114">
        <v>314780</v>
      </c>
      <c r="M85" s="106">
        <v>317154</v>
      </c>
      <c r="N85" s="106">
        <v>216838</v>
      </c>
      <c r="O85" s="106">
        <v>400969</v>
      </c>
      <c r="P85" s="106">
        <v>449495</v>
      </c>
      <c r="Q85" s="106">
        <v>287104</v>
      </c>
      <c r="R85" s="1">
        <v>85671</v>
      </c>
      <c r="S85" s="1">
        <v>167699</v>
      </c>
      <c r="T85" s="1">
        <v>393856</v>
      </c>
      <c r="U85" s="1">
        <v>482542</v>
      </c>
    </row>
    <row r="86" spans="1:21" x14ac:dyDescent="0.2">
      <c r="A86" s="26" t="s">
        <v>7</v>
      </c>
      <c r="B86" s="1">
        <v>376495</v>
      </c>
      <c r="C86" s="1">
        <v>367400</v>
      </c>
      <c r="D86" s="1">
        <v>403975</v>
      </c>
      <c r="E86" s="1">
        <v>438503</v>
      </c>
      <c r="F86" s="1">
        <v>309866</v>
      </c>
      <c r="G86" s="1">
        <v>306780</v>
      </c>
      <c r="H86" s="2">
        <v>264597</v>
      </c>
      <c r="I86" s="2">
        <v>340182</v>
      </c>
      <c r="J86" s="2">
        <v>294774</v>
      </c>
      <c r="K86" s="2">
        <v>293005</v>
      </c>
      <c r="L86" s="114">
        <v>343922</v>
      </c>
      <c r="M86" s="106">
        <v>390373</v>
      </c>
      <c r="N86" s="106">
        <v>528047</v>
      </c>
      <c r="O86" s="106">
        <v>411571</v>
      </c>
      <c r="P86" s="106">
        <v>376765</v>
      </c>
      <c r="Q86" s="106">
        <v>570495</v>
      </c>
      <c r="R86" s="1">
        <v>92483</v>
      </c>
      <c r="S86" s="1">
        <v>273547</v>
      </c>
      <c r="T86" s="1">
        <v>485715</v>
      </c>
      <c r="U86" s="1">
        <v>419750</v>
      </c>
    </row>
    <row r="87" spans="1:21" x14ac:dyDescent="0.2">
      <c r="A87" s="26" t="s">
        <v>8</v>
      </c>
      <c r="B87" s="1">
        <v>275272</v>
      </c>
      <c r="C87" s="1">
        <v>313812</v>
      </c>
      <c r="D87" s="1">
        <v>284902</v>
      </c>
      <c r="E87" s="1">
        <v>290002</v>
      </c>
      <c r="F87" s="1">
        <v>303851</v>
      </c>
      <c r="G87" s="1">
        <v>245351</v>
      </c>
      <c r="H87" s="2">
        <v>264733</v>
      </c>
      <c r="I87" s="2">
        <v>316803</v>
      </c>
      <c r="J87" s="2">
        <v>336470</v>
      </c>
      <c r="K87" s="2">
        <v>294655</v>
      </c>
      <c r="L87" s="114">
        <v>370176</v>
      </c>
      <c r="M87" s="106">
        <v>360007</v>
      </c>
      <c r="N87" s="106">
        <v>411083</v>
      </c>
      <c r="O87" s="106">
        <v>426532</v>
      </c>
      <c r="P87" s="106">
        <v>424416</v>
      </c>
      <c r="Q87" s="106">
        <v>420749</v>
      </c>
      <c r="R87" s="2">
        <v>98918</v>
      </c>
      <c r="S87" s="1">
        <v>285746</v>
      </c>
      <c r="T87" s="1">
        <v>487301</v>
      </c>
      <c r="U87" s="1">
        <v>501288</v>
      </c>
    </row>
    <row r="88" spans="1:21" x14ac:dyDescent="0.2">
      <c r="A88" s="26" t="s">
        <v>9</v>
      </c>
      <c r="B88" s="1">
        <v>278813</v>
      </c>
      <c r="C88" s="1">
        <v>295512</v>
      </c>
      <c r="D88" s="1">
        <v>303088</v>
      </c>
      <c r="E88" s="1">
        <v>292242</v>
      </c>
      <c r="F88" s="1">
        <v>355325</v>
      </c>
      <c r="G88" s="1">
        <v>249145</v>
      </c>
      <c r="H88" s="2">
        <v>279146</v>
      </c>
      <c r="I88" s="2">
        <v>280433</v>
      </c>
      <c r="J88" s="2">
        <v>281946</v>
      </c>
      <c r="K88" s="2">
        <v>338427</v>
      </c>
      <c r="L88" s="54">
        <v>333174</v>
      </c>
      <c r="M88" s="106">
        <v>348819</v>
      </c>
      <c r="N88" s="106">
        <v>463159</v>
      </c>
      <c r="O88" s="106">
        <v>402770</v>
      </c>
      <c r="P88" s="106">
        <v>433308</v>
      </c>
      <c r="Q88" s="106">
        <v>441855</v>
      </c>
      <c r="R88" s="1">
        <v>138882</v>
      </c>
      <c r="S88" s="1">
        <v>285557</v>
      </c>
      <c r="T88" s="1">
        <v>469464</v>
      </c>
      <c r="U88" s="1">
        <v>501694</v>
      </c>
    </row>
    <row r="89" spans="1:21" x14ac:dyDescent="0.2">
      <c r="A89" s="26" t="s">
        <v>10</v>
      </c>
      <c r="B89" s="53">
        <v>291329</v>
      </c>
      <c r="C89" s="53">
        <v>295157</v>
      </c>
      <c r="D89" s="53">
        <v>282351</v>
      </c>
      <c r="E89" s="53">
        <v>348155</v>
      </c>
      <c r="F89" s="53"/>
      <c r="G89" s="1">
        <v>268181</v>
      </c>
      <c r="H89" s="2">
        <v>188639</v>
      </c>
      <c r="I89" s="2">
        <v>288944</v>
      </c>
      <c r="J89" s="2">
        <v>307537</v>
      </c>
      <c r="K89" s="2">
        <v>345129</v>
      </c>
      <c r="L89" s="54">
        <v>350453</v>
      </c>
      <c r="M89" s="106">
        <v>372214</v>
      </c>
      <c r="N89" s="106">
        <v>459151</v>
      </c>
      <c r="O89" s="106">
        <v>402028</v>
      </c>
      <c r="P89" s="106">
        <v>465824</v>
      </c>
      <c r="Q89" s="106">
        <v>469482</v>
      </c>
      <c r="R89" s="1">
        <v>90060</v>
      </c>
      <c r="S89" s="1">
        <v>276664</v>
      </c>
      <c r="T89" s="1">
        <v>406529</v>
      </c>
      <c r="U89" s="1">
        <v>443333</v>
      </c>
    </row>
    <row r="90" spans="1:21" x14ac:dyDescent="0.2">
      <c r="A90" s="26" t="s">
        <v>11</v>
      </c>
      <c r="B90" s="39">
        <v>188743</v>
      </c>
      <c r="C90" s="39">
        <v>136101</v>
      </c>
      <c r="D90" s="39">
        <v>224088</v>
      </c>
      <c r="E90" s="39">
        <v>220697</v>
      </c>
      <c r="F90" s="39">
        <v>417603</v>
      </c>
      <c r="G90" s="39">
        <v>182771</v>
      </c>
      <c r="H90" s="40">
        <v>299769</v>
      </c>
      <c r="I90" s="40">
        <v>206978</v>
      </c>
      <c r="J90" s="40">
        <v>214058</v>
      </c>
      <c r="K90" s="40">
        <v>236637</v>
      </c>
      <c r="L90" s="61">
        <v>244743</v>
      </c>
      <c r="M90" s="95">
        <v>268993</v>
      </c>
      <c r="N90" s="95">
        <v>202166</v>
      </c>
      <c r="O90" s="95">
        <v>299573</v>
      </c>
      <c r="P90" s="95">
        <v>300547</v>
      </c>
      <c r="Q90" s="95">
        <v>317263</v>
      </c>
      <c r="R90" s="1">
        <v>65692</v>
      </c>
      <c r="S90" s="1">
        <v>203939</v>
      </c>
      <c r="T90" s="1">
        <v>318825</v>
      </c>
      <c r="U90" s="1">
        <v>392021</v>
      </c>
    </row>
    <row r="91" spans="1:21" x14ac:dyDescent="0.2">
      <c r="A91" s="25"/>
      <c r="B91" s="64">
        <f t="shared" ref="B91:H91" si="24">SUM(B79:B90)</f>
        <v>2023356</v>
      </c>
      <c r="C91" s="64">
        <f t="shared" si="24"/>
        <v>2797942</v>
      </c>
      <c r="D91" s="64">
        <f t="shared" si="24"/>
        <v>2974327</v>
      </c>
      <c r="E91" s="64">
        <f t="shared" si="24"/>
        <v>3050661</v>
      </c>
      <c r="F91" s="64">
        <f t="shared" si="24"/>
        <v>3131884.81</v>
      </c>
      <c r="G91" s="64">
        <f t="shared" si="24"/>
        <v>2808774</v>
      </c>
      <c r="H91" s="64">
        <f t="shared" si="24"/>
        <v>2883510</v>
      </c>
      <c r="I91" s="64">
        <f t="shared" ref="I91:N91" si="25">SUM(I79:I90)</f>
        <v>3041117</v>
      </c>
      <c r="J91" s="64">
        <f t="shared" si="25"/>
        <v>3133240</v>
      </c>
      <c r="K91" s="64">
        <f t="shared" si="25"/>
        <v>3265495</v>
      </c>
      <c r="L91" s="64">
        <f t="shared" si="25"/>
        <v>3433574</v>
      </c>
      <c r="M91" s="96">
        <f t="shared" si="25"/>
        <v>3724808</v>
      </c>
      <c r="N91" s="96">
        <f t="shared" si="25"/>
        <v>4085026</v>
      </c>
      <c r="O91" s="96">
        <f t="shared" ref="O91:P91" si="26">SUM(O79:O90)</f>
        <v>4259645</v>
      </c>
      <c r="P91" s="96">
        <f t="shared" si="26"/>
        <v>4549957</v>
      </c>
      <c r="Q91" s="96">
        <f t="shared" ref="Q91:S91" si="27">SUM(Q79:Q90)</f>
        <v>4408755</v>
      </c>
      <c r="R91" s="126">
        <f t="shared" ref="R91" si="28">SUM(R79:R90)</f>
        <v>1870057</v>
      </c>
      <c r="S91" s="126">
        <f t="shared" si="27"/>
        <v>2110494</v>
      </c>
      <c r="T91" s="126">
        <f t="shared" ref="T91:U91" si="29">SUM(T79:T90)</f>
        <v>4237244</v>
      </c>
      <c r="U91" s="126">
        <f t="shared" si="29"/>
        <v>4758693</v>
      </c>
    </row>
    <row r="92" spans="1:21" x14ac:dyDescent="0.2">
      <c r="B92" s="2"/>
    </row>
    <row r="93" spans="1:21" x14ac:dyDescent="0.2">
      <c r="B93" s="2"/>
    </row>
  </sheetData>
  <phoneticPr fontId="4" type="noConversion"/>
  <pageMargins left="0.2" right="0.2" top="1.37" bottom="1.34" header="0.5" footer="0.5"/>
  <pageSetup scale="88" fitToHeight="2" orientation="landscape" r:id="rId1"/>
  <headerFooter alignWithMargins="0">
    <oddHeader>&amp;A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6.5703125" bestFit="1" customWidth="1"/>
    <col min="5" max="5" width="8.7109375" bestFit="1" customWidth="1"/>
    <col min="6" max="6" width="10.7109375" customWidth="1"/>
    <col min="7" max="7" width="10.140625" bestFit="1" customWidth="1"/>
    <col min="8" max="8" width="10.7109375" bestFit="1" customWidth="1"/>
    <col min="9" max="11" width="10.140625" bestFit="1" customWidth="1"/>
    <col min="12" max="21" width="10.7109375" bestFit="1" customWidth="1"/>
  </cols>
  <sheetData>
    <row r="2" spans="1:21" x14ac:dyDescent="0.2">
      <c r="A2" s="24" t="s">
        <v>56</v>
      </c>
      <c r="B2" s="148">
        <v>5.0000000000000001E-3</v>
      </c>
      <c r="D2" s="94" t="s">
        <v>198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2"/>
      <c r="C5" s="12"/>
      <c r="D5" s="12"/>
      <c r="E5" s="1"/>
      <c r="F5" s="1">
        <f>113226+3922</f>
        <v>117148</v>
      </c>
      <c r="G5" s="1">
        <v>121911</v>
      </c>
      <c r="H5" s="2">
        <v>138725</v>
      </c>
      <c r="I5" s="2">
        <v>139051</v>
      </c>
      <c r="J5" s="2">
        <v>148602</v>
      </c>
      <c r="K5" s="2">
        <v>145941</v>
      </c>
      <c r="L5" s="102">
        <v>154653</v>
      </c>
      <c r="M5" s="117">
        <v>156723</v>
      </c>
      <c r="N5" s="117">
        <v>149774</v>
      </c>
      <c r="O5" s="117">
        <v>143344</v>
      </c>
      <c r="P5" s="117">
        <v>129705</v>
      </c>
      <c r="Q5" s="117">
        <v>144602</v>
      </c>
      <c r="R5" s="1">
        <v>153574</v>
      </c>
      <c r="S5" s="1">
        <v>153227</v>
      </c>
      <c r="T5" s="1">
        <v>155804</v>
      </c>
      <c r="U5" s="1">
        <v>161527</v>
      </c>
    </row>
    <row r="6" spans="1:21" x14ac:dyDescent="0.2">
      <c r="A6" s="26" t="s">
        <v>1</v>
      </c>
      <c r="B6" s="12"/>
      <c r="C6" s="12"/>
      <c r="D6" s="12"/>
      <c r="E6" s="1"/>
      <c r="F6" s="1">
        <v>83053.2</v>
      </c>
      <c r="G6" s="1">
        <v>98273</v>
      </c>
      <c r="H6" s="2">
        <v>106946</v>
      </c>
      <c r="I6" s="2">
        <v>107843</v>
      </c>
      <c r="J6" s="2">
        <v>114331</v>
      </c>
      <c r="K6" s="2">
        <v>120125</v>
      </c>
      <c r="L6" s="102">
        <v>130131</v>
      </c>
      <c r="M6" s="117">
        <v>117091</v>
      </c>
      <c r="N6" s="117">
        <v>104026</v>
      </c>
      <c r="O6" s="117">
        <v>112024</v>
      </c>
      <c r="P6" s="117">
        <v>103946</v>
      </c>
      <c r="Q6" s="117">
        <v>108837</v>
      </c>
      <c r="R6" s="1">
        <v>114104</v>
      </c>
      <c r="S6" s="1">
        <v>124514</v>
      </c>
      <c r="T6" s="1">
        <v>136928</v>
      </c>
      <c r="U6" s="1">
        <v>141867</v>
      </c>
    </row>
    <row r="7" spans="1:21" x14ac:dyDescent="0.2">
      <c r="A7" s="26" t="s">
        <v>2</v>
      </c>
      <c r="B7" s="12"/>
      <c r="C7" s="12"/>
      <c r="D7" s="12"/>
      <c r="E7" s="1"/>
      <c r="F7" s="1">
        <f>82470.47+74</f>
        <v>82544.47</v>
      </c>
      <c r="G7" s="1">
        <v>84573</v>
      </c>
      <c r="H7" s="2">
        <v>104909</v>
      </c>
      <c r="I7" s="2">
        <v>115290</v>
      </c>
      <c r="J7" s="2">
        <v>106109</v>
      </c>
      <c r="K7" s="2">
        <v>114271</v>
      </c>
      <c r="L7" s="106">
        <v>120653</v>
      </c>
      <c r="M7" s="117">
        <v>115207</v>
      </c>
      <c r="N7" s="117">
        <v>106391</v>
      </c>
      <c r="O7" s="117">
        <v>104896</v>
      </c>
      <c r="P7" s="117">
        <v>99075</v>
      </c>
      <c r="Q7" s="117">
        <v>107489</v>
      </c>
      <c r="R7" s="1">
        <v>106357</v>
      </c>
      <c r="S7" s="1">
        <v>106667</v>
      </c>
      <c r="T7" s="1">
        <v>121574</v>
      </c>
      <c r="U7" s="1">
        <v>136396</v>
      </c>
    </row>
    <row r="8" spans="1:21" x14ac:dyDescent="0.2">
      <c r="A8" s="26" t="s">
        <v>3</v>
      </c>
      <c r="B8" s="12"/>
      <c r="C8" s="12"/>
      <c r="D8" s="12"/>
      <c r="E8" s="1">
        <v>0</v>
      </c>
      <c r="F8" s="1">
        <v>91146.43</v>
      </c>
      <c r="G8" s="1">
        <v>93916</v>
      </c>
      <c r="H8" s="2">
        <v>123003</v>
      </c>
      <c r="I8" s="2">
        <v>123552</v>
      </c>
      <c r="J8" s="2">
        <v>120869</v>
      </c>
      <c r="K8" s="2">
        <v>130266</v>
      </c>
      <c r="L8" s="106">
        <v>130164</v>
      </c>
      <c r="M8" s="117">
        <v>127055</v>
      </c>
      <c r="N8" s="117">
        <v>125230</v>
      </c>
      <c r="O8" s="117">
        <v>120114</v>
      </c>
      <c r="P8" s="117">
        <v>117834</v>
      </c>
      <c r="Q8" s="117">
        <v>126219</v>
      </c>
      <c r="R8" s="1">
        <v>120591</v>
      </c>
      <c r="S8" s="1">
        <v>139931</v>
      </c>
      <c r="T8" s="1">
        <v>144440</v>
      </c>
      <c r="U8" s="1">
        <v>158429</v>
      </c>
    </row>
    <row r="9" spans="1:21" x14ac:dyDescent="0.2">
      <c r="A9" s="26" t="s">
        <v>4</v>
      </c>
      <c r="B9" s="12"/>
      <c r="C9" s="12"/>
      <c r="D9" s="12"/>
      <c r="E9" s="1">
        <v>62677</v>
      </c>
      <c r="F9" s="1">
        <f>82848.91-45</f>
        <v>82803.91</v>
      </c>
      <c r="G9" s="1">
        <v>102243</v>
      </c>
      <c r="H9" s="2">
        <v>116762</v>
      </c>
      <c r="I9" s="2">
        <v>118560</v>
      </c>
      <c r="J9" s="2">
        <v>115648</v>
      </c>
      <c r="K9" s="2">
        <v>116117</v>
      </c>
      <c r="L9" s="106">
        <v>130934</v>
      </c>
      <c r="M9" s="117">
        <v>121675</v>
      </c>
      <c r="N9" s="117">
        <v>111461</v>
      </c>
      <c r="O9" s="117">
        <v>113592</v>
      </c>
      <c r="P9" s="117">
        <v>109776</v>
      </c>
      <c r="Q9" s="117">
        <v>135708</v>
      </c>
      <c r="R9" s="1">
        <v>113172</v>
      </c>
      <c r="S9" s="1">
        <v>141618</v>
      </c>
      <c r="T9" s="1">
        <v>145407</v>
      </c>
      <c r="U9" s="1">
        <v>163822</v>
      </c>
    </row>
    <row r="10" spans="1:21" x14ac:dyDescent="0.2">
      <c r="A10" s="26" t="s">
        <v>5</v>
      </c>
      <c r="B10" s="12"/>
      <c r="C10" s="12"/>
      <c r="D10" s="12"/>
      <c r="E10" s="1">
        <v>80268</v>
      </c>
      <c r="F10" s="1">
        <v>97177.64</v>
      </c>
      <c r="G10" s="1">
        <v>109831</v>
      </c>
      <c r="H10" s="2">
        <v>116362</v>
      </c>
      <c r="I10" s="2">
        <v>122316</v>
      </c>
      <c r="J10" s="2">
        <v>122156</v>
      </c>
      <c r="K10" s="2">
        <v>123442</v>
      </c>
      <c r="L10" s="106">
        <v>145275</v>
      </c>
      <c r="M10" s="117">
        <v>134607</v>
      </c>
      <c r="N10" s="117">
        <v>132202</v>
      </c>
      <c r="O10" s="117">
        <v>123072</v>
      </c>
      <c r="P10" s="117">
        <v>125049</v>
      </c>
      <c r="Q10" s="117">
        <v>135869</v>
      </c>
      <c r="R10" s="1">
        <v>133741</v>
      </c>
      <c r="S10" s="1">
        <v>135806</v>
      </c>
      <c r="T10" s="1">
        <v>146094</v>
      </c>
      <c r="U10" s="1">
        <v>162990</v>
      </c>
    </row>
    <row r="11" spans="1:21" x14ac:dyDescent="0.2">
      <c r="A11" s="26" t="s">
        <v>6</v>
      </c>
      <c r="B11" s="12"/>
      <c r="C11" s="12"/>
      <c r="D11" s="12"/>
      <c r="E11" s="1">
        <f>122846+163</f>
        <v>123009</v>
      </c>
      <c r="F11" s="1">
        <v>95673.53</v>
      </c>
      <c r="G11" s="1">
        <v>102973</v>
      </c>
      <c r="H11" s="2">
        <v>104763</v>
      </c>
      <c r="I11" s="2">
        <v>116365</v>
      </c>
      <c r="J11" s="2">
        <v>116467</v>
      </c>
      <c r="K11" s="2">
        <v>117674</v>
      </c>
      <c r="L11" s="106">
        <v>124262</v>
      </c>
      <c r="M11" s="117">
        <v>115016</v>
      </c>
      <c r="N11" s="117">
        <v>118327</v>
      </c>
      <c r="O11" s="117">
        <v>-2993</v>
      </c>
      <c r="P11" s="117">
        <v>109875</v>
      </c>
      <c r="Q11" s="117">
        <v>120906</v>
      </c>
      <c r="R11" s="1">
        <v>112908</v>
      </c>
      <c r="S11" s="1">
        <v>143993</v>
      </c>
      <c r="T11" s="1">
        <v>154994</v>
      </c>
      <c r="U11" s="1">
        <v>170016</v>
      </c>
    </row>
    <row r="12" spans="1:21" x14ac:dyDescent="0.2">
      <c r="A12" s="26" t="s">
        <v>7</v>
      </c>
      <c r="B12" s="12"/>
      <c r="C12" s="12"/>
      <c r="D12" s="12"/>
      <c r="E12" s="1">
        <f>100332</f>
        <v>100332</v>
      </c>
      <c r="F12" s="1">
        <v>115409.36</v>
      </c>
      <c r="G12" s="1">
        <v>133874</v>
      </c>
      <c r="H12" s="2">
        <v>138827</v>
      </c>
      <c r="I12" s="2">
        <v>141502</v>
      </c>
      <c r="J12" s="2">
        <v>137340</v>
      </c>
      <c r="K12" s="2">
        <v>137804</v>
      </c>
      <c r="L12" s="106">
        <v>149919</v>
      </c>
      <c r="M12" s="117">
        <v>173394</v>
      </c>
      <c r="N12" s="117">
        <v>142060</v>
      </c>
      <c r="O12" s="117">
        <v>-288829</v>
      </c>
      <c r="P12" s="117">
        <v>145196</v>
      </c>
      <c r="Q12" s="117">
        <v>153320</v>
      </c>
      <c r="R12" s="1">
        <v>152500</v>
      </c>
      <c r="S12" s="1">
        <v>166897</v>
      </c>
      <c r="T12" s="1">
        <v>155356</v>
      </c>
      <c r="U12" s="1">
        <v>165522</v>
      </c>
    </row>
    <row r="13" spans="1:21" x14ac:dyDescent="0.2">
      <c r="A13" s="26" t="s">
        <v>8</v>
      </c>
      <c r="B13" s="12"/>
      <c r="C13" s="12"/>
      <c r="D13" s="12"/>
      <c r="E13" s="1">
        <v>87300</v>
      </c>
      <c r="F13" s="1">
        <v>97246.31</v>
      </c>
      <c r="G13" s="1">
        <v>109637</v>
      </c>
      <c r="H13" s="2">
        <v>116421</v>
      </c>
      <c r="I13" s="2">
        <v>130122</v>
      </c>
      <c r="J13" s="2">
        <v>119907</v>
      </c>
      <c r="K13" s="2">
        <v>127355</v>
      </c>
      <c r="L13" s="106">
        <v>134266</v>
      </c>
      <c r="M13" s="117">
        <v>130131</v>
      </c>
      <c r="N13" s="117">
        <v>128178</v>
      </c>
      <c r="O13" s="117">
        <v>124749</v>
      </c>
      <c r="P13" s="117">
        <v>145956</v>
      </c>
      <c r="Q13" s="117">
        <v>134130</v>
      </c>
      <c r="R13" s="2">
        <v>120523</v>
      </c>
      <c r="S13" s="1">
        <v>145858</v>
      </c>
      <c r="T13" s="1">
        <v>154262</v>
      </c>
      <c r="U13" s="1">
        <v>164724</v>
      </c>
    </row>
    <row r="14" spans="1:21" x14ac:dyDescent="0.2">
      <c r="A14" s="26" t="s">
        <v>9</v>
      </c>
      <c r="B14" s="12"/>
      <c r="C14" s="12"/>
      <c r="D14" s="12"/>
      <c r="E14" s="1">
        <v>99586</v>
      </c>
      <c r="F14" s="1">
        <f>104560.52+108.61</f>
        <v>104669.13</v>
      </c>
      <c r="G14" s="1">
        <v>123714</v>
      </c>
      <c r="H14" s="2">
        <v>119361</v>
      </c>
      <c r="I14" s="2">
        <v>129536</v>
      </c>
      <c r="J14" s="2">
        <v>128079</v>
      </c>
      <c r="K14" s="2">
        <v>123850</v>
      </c>
      <c r="L14" s="106">
        <v>142994</v>
      </c>
      <c r="M14" s="117">
        <v>137355</v>
      </c>
      <c r="N14" s="117">
        <v>129659</v>
      </c>
      <c r="O14" s="117">
        <v>130160</v>
      </c>
      <c r="P14" s="117">
        <v>124296</v>
      </c>
      <c r="Q14" s="117">
        <v>135712</v>
      </c>
      <c r="R14" s="1">
        <v>126491</v>
      </c>
      <c r="S14" s="1">
        <v>148385</v>
      </c>
      <c r="T14" s="1">
        <v>158635</v>
      </c>
      <c r="U14" s="1">
        <v>190718</v>
      </c>
    </row>
    <row r="15" spans="1:21" x14ac:dyDescent="0.2">
      <c r="A15" s="26" t="s">
        <v>10</v>
      </c>
      <c r="B15" s="12"/>
      <c r="C15" s="12"/>
      <c r="D15" s="12"/>
      <c r="E15" s="1">
        <f>87487.49+11</f>
        <v>87498.49</v>
      </c>
      <c r="F15" s="1"/>
      <c r="G15" s="1">
        <v>109685</v>
      </c>
      <c r="H15" s="2">
        <v>109489</v>
      </c>
      <c r="I15" s="2">
        <v>124164</v>
      </c>
      <c r="J15" s="2">
        <v>118747</v>
      </c>
      <c r="K15" s="2">
        <v>128852</v>
      </c>
      <c r="L15" s="106">
        <v>168502</v>
      </c>
      <c r="M15" s="117">
        <v>129828</v>
      </c>
      <c r="N15" s="117">
        <v>125356</v>
      </c>
      <c r="O15" s="117">
        <v>113051</v>
      </c>
      <c r="P15" s="117">
        <v>122340</v>
      </c>
      <c r="Q15" s="117">
        <v>135657</v>
      </c>
      <c r="R15" s="1">
        <v>135098</v>
      </c>
      <c r="S15" s="1">
        <v>146011</v>
      </c>
      <c r="T15" s="1">
        <v>157211</v>
      </c>
      <c r="U15" s="1">
        <v>170446</v>
      </c>
    </row>
    <row r="16" spans="1:21" x14ac:dyDescent="0.2">
      <c r="A16" s="26" t="s">
        <v>11</v>
      </c>
      <c r="B16" s="13"/>
      <c r="C16" s="23"/>
      <c r="D16" s="23"/>
      <c r="E16" s="39">
        <f>85090.22+177</f>
        <v>85267.22</v>
      </c>
      <c r="F16" s="39">
        <v>191595</v>
      </c>
      <c r="G16" s="39">
        <v>112461</v>
      </c>
      <c r="H16" s="40">
        <v>115787</v>
      </c>
      <c r="I16" s="40">
        <v>133862</v>
      </c>
      <c r="J16" s="40">
        <v>126380</v>
      </c>
      <c r="K16" s="40">
        <v>133506</v>
      </c>
      <c r="L16" s="95">
        <v>234876</v>
      </c>
      <c r="M16" s="95">
        <v>125745</v>
      </c>
      <c r="N16" s="95">
        <v>122290</v>
      </c>
      <c r="O16" s="95">
        <v>107213</v>
      </c>
      <c r="P16" s="95">
        <v>120781</v>
      </c>
      <c r="Q16" s="95">
        <v>128417</v>
      </c>
      <c r="R16" s="1">
        <v>131366</v>
      </c>
      <c r="S16" s="1">
        <v>147266</v>
      </c>
      <c r="T16" s="1">
        <v>153684</v>
      </c>
      <c r="U16" s="1">
        <v>168929</v>
      </c>
    </row>
    <row r="17" spans="1:21" x14ac:dyDescent="0.2">
      <c r="A17" s="25"/>
      <c r="B17" s="14"/>
      <c r="C17" s="14"/>
      <c r="D17" s="14"/>
      <c r="E17" s="44">
        <f t="shared" ref="E17:J17" si="0">SUM(E5:E16)</f>
        <v>725937.71</v>
      </c>
      <c r="F17" s="44">
        <f t="shared" si="0"/>
        <v>1158466.98</v>
      </c>
      <c r="G17" s="44">
        <f t="shared" si="0"/>
        <v>1303091</v>
      </c>
      <c r="H17" s="41">
        <f t="shared" si="0"/>
        <v>1411355</v>
      </c>
      <c r="I17" s="44">
        <f t="shared" si="0"/>
        <v>1502163</v>
      </c>
      <c r="J17" s="44">
        <f t="shared" si="0"/>
        <v>1474635</v>
      </c>
      <c r="K17" s="44">
        <f t="shared" ref="K17:P17" si="1">SUM(K5:K16)</f>
        <v>1519203</v>
      </c>
      <c r="L17" s="96">
        <f t="shared" si="1"/>
        <v>1766629</v>
      </c>
      <c r="M17" s="96">
        <f t="shared" si="1"/>
        <v>1583827</v>
      </c>
      <c r="N17" s="96">
        <f t="shared" si="1"/>
        <v>1494954</v>
      </c>
      <c r="O17" s="96">
        <f t="shared" si="1"/>
        <v>900393</v>
      </c>
      <c r="P17" s="96">
        <f t="shared" si="1"/>
        <v>1453829</v>
      </c>
      <c r="Q17" s="96">
        <f t="shared" ref="Q17:T17" si="2">SUM(Q5:Q16)</f>
        <v>1566866</v>
      </c>
      <c r="R17" s="126">
        <f t="shared" ref="R17" si="3">SUM(R5:R16)</f>
        <v>1520425</v>
      </c>
      <c r="S17" s="126">
        <f t="shared" si="2"/>
        <v>1700173</v>
      </c>
      <c r="T17" s="126">
        <f t="shared" si="2"/>
        <v>1784389</v>
      </c>
      <c r="U17" s="126">
        <f t="shared" ref="U17" si="4">SUM(U5:U16)</f>
        <v>1955386</v>
      </c>
    </row>
    <row r="18" spans="1:21" x14ac:dyDescent="0.2">
      <c r="A18" s="25"/>
      <c r="G18" s="7"/>
      <c r="L18" s="94"/>
    </row>
    <row r="19" spans="1:21" x14ac:dyDescent="0.2">
      <c r="A19" s="25"/>
      <c r="F19" s="35" t="s">
        <v>110</v>
      </c>
      <c r="L19" s="94"/>
    </row>
    <row r="20" spans="1:21" x14ac:dyDescent="0.2">
      <c r="F20" s="35" t="s">
        <v>111</v>
      </c>
      <c r="L20" s="94"/>
    </row>
    <row r="21" spans="1:21" x14ac:dyDescent="0.2">
      <c r="A21" s="24" t="s">
        <v>57</v>
      </c>
      <c r="B21" s="148">
        <v>5.0000000000000001E-3</v>
      </c>
      <c r="D21" s="94" t="s">
        <v>198</v>
      </c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</row>
    <row r="24" spans="1:21" x14ac:dyDescent="0.2">
      <c r="A24" s="26" t="s">
        <v>0</v>
      </c>
      <c r="B24" s="12"/>
      <c r="C24" s="12"/>
      <c r="D24" s="12"/>
      <c r="E24" s="1"/>
      <c r="F24" s="1">
        <v>10452.4</v>
      </c>
      <c r="G24" s="1">
        <v>7606</v>
      </c>
      <c r="H24" s="2">
        <v>11030</v>
      </c>
      <c r="I24" s="2">
        <v>26798</v>
      </c>
      <c r="J24" s="2">
        <v>14802</v>
      </c>
      <c r="K24" s="2">
        <v>10212</v>
      </c>
      <c r="L24" s="102">
        <v>7566</v>
      </c>
      <c r="M24" s="117">
        <v>7537</v>
      </c>
      <c r="N24" s="117">
        <v>4410</v>
      </c>
      <c r="O24" s="117">
        <v>5461</v>
      </c>
      <c r="P24" s="117">
        <v>4385</v>
      </c>
      <c r="Q24" s="117">
        <v>4013</v>
      </c>
      <c r="R24" s="1">
        <v>3966</v>
      </c>
      <c r="S24" s="1">
        <v>5287</v>
      </c>
      <c r="T24" s="1">
        <v>4360</v>
      </c>
      <c r="U24" s="1">
        <v>6259</v>
      </c>
    </row>
    <row r="25" spans="1:21" x14ac:dyDescent="0.2">
      <c r="A25" s="26" t="s">
        <v>1</v>
      </c>
      <c r="B25" s="12"/>
      <c r="C25" s="12"/>
      <c r="D25" s="12"/>
      <c r="E25" s="1"/>
      <c r="F25" s="1">
        <v>7589.4</v>
      </c>
      <c r="G25" s="1">
        <v>7376</v>
      </c>
      <c r="H25" s="2">
        <v>2895</v>
      </c>
      <c r="I25" s="2">
        <v>4632</v>
      </c>
      <c r="J25" s="2">
        <v>7199</v>
      </c>
      <c r="K25" s="2">
        <v>6613</v>
      </c>
      <c r="L25" s="102">
        <v>9396</v>
      </c>
      <c r="M25" s="117">
        <v>8513</v>
      </c>
      <c r="N25" s="117">
        <v>6784</v>
      </c>
      <c r="O25" s="117">
        <v>4987</v>
      </c>
      <c r="P25" s="117">
        <v>4034</v>
      </c>
      <c r="Q25" s="117">
        <v>3928</v>
      </c>
      <c r="R25" s="1">
        <v>3449</v>
      </c>
      <c r="S25" s="1">
        <v>4106</v>
      </c>
      <c r="T25" s="1">
        <v>4109</v>
      </c>
      <c r="U25" s="1">
        <v>4130</v>
      </c>
    </row>
    <row r="26" spans="1:21" x14ac:dyDescent="0.2">
      <c r="A26" s="26" t="s">
        <v>2</v>
      </c>
      <c r="B26" s="12"/>
      <c r="C26" s="12"/>
      <c r="D26" s="12"/>
      <c r="E26" s="1"/>
      <c r="F26" s="1">
        <v>15323.48</v>
      </c>
      <c r="G26" s="1">
        <v>10161</v>
      </c>
      <c r="H26" s="2">
        <v>10032</v>
      </c>
      <c r="I26" s="2">
        <v>6626</v>
      </c>
      <c r="J26" s="2">
        <v>6920</v>
      </c>
      <c r="K26" s="2">
        <v>5671</v>
      </c>
      <c r="L26" s="102">
        <v>7454</v>
      </c>
      <c r="M26" s="117">
        <v>11553</v>
      </c>
      <c r="N26" s="117">
        <v>4374</v>
      </c>
      <c r="O26" s="117">
        <v>4086</v>
      </c>
      <c r="P26" s="117">
        <v>3361</v>
      </c>
      <c r="Q26" s="117">
        <v>3345</v>
      </c>
      <c r="R26" s="1">
        <v>5369</v>
      </c>
      <c r="S26" s="1">
        <v>4614</v>
      </c>
      <c r="T26" s="1">
        <v>3842</v>
      </c>
      <c r="U26" s="1">
        <v>4029</v>
      </c>
    </row>
    <row r="27" spans="1:21" x14ac:dyDescent="0.2">
      <c r="A27" s="26" t="s">
        <v>3</v>
      </c>
      <c r="B27" s="12"/>
      <c r="C27" s="12"/>
      <c r="D27" s="12"/>
      <c r="E27" s="1">
        <v>0</v>
      </c>
      <c r="F27" s="1">
        <v>12388</v>
      </c>
      <c r="G27" s="1">
        <v>10043</v>
      </c>
      <c r="H27" s="2">
        <v>9660</v>
      </c>
      <c r="I27" s="2">
        <v>8201</v>
      </c>
      <c r="J27" s="2">
        <v>6249</v>
      </c>
      <c r="K27" s="2">
        <v>7146</v>
      </c>
      <c r="L27" s="102">
        <v>9706</v>
      </c>
      <c r="M27" s="117">
        <v>7165</v>
      </c>
      <c r="N27" s="117">
        <v>5279</v>
      </c>
      <c r="O27" s="117">
        <v>7676</v>
      </c>
      <c r="P27" s="117">
        <v>-1648</v>
      </c>
      <c r="Q27" s="117">
        <v>6973</v>
      </c>
      <c r="R27" s="1">
        <v>3444</v>
      </c>
      <c r="S27" s="1">
        <v>5786</v>
      </c>
      <c r="T27" s="1">
        <v>-60482</v>
      </c>
      <c r="U27" s="1">
        <v>4370</v>
      </c>
    </row>
    <row r="28" spans="1:21" x14ac:dyDescent="0.2">
      <c r="A28" s="26" t="s">
        <v>4</v>
      </c>
      <c r="B28" s="12"/>
      <c r="C28" s="12"/>
      <c r="D28" s="12"/>
      <c r="E28" s="1">
        <f>1205+942</f>
        <v>2147</v>
      </c>
      <c r="F28" s="1">
        <v>14793.35</v>
      </c>
      <c r="G28" s="1">
        <v>8737</v>
      </c>
      <c r="H28" s="2">
        <v>9896</v>
      </c>
      <c r="I28" s="2">
        <v>10640</v>
      </c>
      <c r="J28" s="2">
        <v>5443</v>
      </c>
      <c r="K28" s="2">
        <v>12262</v>
      </c>
      <c r="L28" s="102">
        <v>8098</v>
      </c>
      <c r="M28" s="117">
        <v>-2952</v>
      </c>
      <c r="N28" s="117">
        <v>3921</v>
      </c>
      <c r="O28" s="117">
        <v>4540</v>
      </c>
      <c r="P28" s="117">
        <v>2706</v>
      </c>
      <c r="Q28" s="117">
        <v>8206</v>
      </c>
      <c r="R28" s="1">
        <v>3899</v>
      </c>
      <c r="S28" s="1">
        <v>4919</v>
      </c>
      <c r="T28" s="1">
        <v>5496</v>
      </c>
      <c r="U28" s="1">
        <v>3926</v>
      </c>
    </row>
    <row r="29" spans="1:21" x14ac:dyDescent="0.2">
      <c r="A29" s="26" t="s">
        <v>5</v>
      </c>
      <c r="B29" s="12"/>
      <c r="C29" s="12"/>
      <c r="D29" s="12"/>
      <c r="E29" s="1">
        <v>8368</v>
      </c>
      <c r="F29" s="1">
        <v>16638.16</v>
      </c>
      <c r="G29" s="1">
        <v>10419</v>
      </c>
      <c r="H29" s="2">
        <v>11372</v>
      </c>
      <c r="I29" s="2">
        <v>4993</v>
      </c>
      <c r="J29" s="2">
        <v>7481</v>
      </c>
      <c r="K29" s="2">
        <v>7046</v>
      </c>
      <c r="L29" s="102">
        <v>9384</v>
      </c>
      <c r="M29" s="117">
        <v>16957</v>
      </c>
      <c r="N29" s="117">
        <v>7560</v>
      </c>
      <c r="O29" s="117">
        <v>1253</v>
      </c>
      <c r="P29" s="117">
        <v>4867</v>
      </c>
      <c r="Q29" s="117">
        <v>3500</v>
      </c>
      <c r="R29" s="1">
        <v>6520</v>
      </c>
      <c r="S29" s="1">
        <v>-12345</v>
      </c>
      <c r="T29" s="1">
        <v>6539</v>
      </c>
      <c r="U29" s="1">
        <v>3396</v>
      </c>
    </row>
    <row r="30" spans="1:21" x14ac:dyDescent="0.2">
      <c r="A30" s="26" t="s">
        <v>6</v>
      </c>
      <c r="B30" s="12"/>
      <c r="C30" s="12"/>
      <c r="D30" s="12"/>
      <c r="E30" s="1">
        <f>5794-7</f>
        <v>5787</v>
      </c>
      <c r="F30" s="1">
        <v>3446</v>
      </c>
      <c r="G30" s="1">
        <v>4065</v>
      </c>
      <c r="H30" s="2">
        <v>2459</v>
      </c>
      <c r="I30" s="2">
        <v>2485</v>
      </c>
      <c r="J30" s="2">
        <v>4739</v>
      </c>
      <c r="K30" s="2">
        <v>4049</v>
      </c>
      <c r="L30" s="102">
        <v>6426</v>
      </c>
      <c r="M30" s="117">
        <v>4926</v>
      </c>
      <c r="N30" s="117">
        <v>4219</v>
      </c>
      <c r="O30" s="117">
        <v>2147</v>
      </c>
      <c r="P30" s="117">
        <v>5338</v>
      </c>
      <c r="Q30" s="117">
        <v>5483</v>
      </c>
      <c r="R30" s="1">
        <v>4049</v>
      </c>
      <c r="S30" s="1">
        <v>4978</v>
      </c>
      <c r="T30" s="1">
        <v>7582</v>
      </c>
      <c r="U30" s="1">
        <v>4944</v>
      </c>
    </row>
    <row r="31" spans="1:21" x14ac:dyDescent="0.2">
      <c r="A31" s="26" t="s">
        <v>7</v>
      </c>
      <c r="B31" s="12"/>
      <c r="C31" s="12"/>
      <c r="D31" s="12"/>
      <c r="E31" s="1">
        <v>27799.95</v>
      </c>
      <c r="F31" s="1">
        <v>20786.82</v>
      </c>
      <c r="G31" s="1">
        <v>13744</v>
      </c>
      <c r="H31" s="2">
        <v>14968</v>
      </c>
      <c r="I31" s="2">
        <v>8740</v>
      </c>
      <c r="J31" s="2">
        <v>18728</v>
      </c>
      <c r="K31" s="2">
        <v>8842</v>
      </c>
      <c r="L31" s="102">
        <v>12413</v>
      </c>
      <c r="M31" s="117">
        <v>15538</v>
      </c>
      <c r="N31" s="117">
        <v>7735</v>
      </c>
      <c r="O31" s="117">
        <v>-367</v>
      </c>
      <c r="P31" s="117">
        <v>3794</v>
      </c>
      <c r="Q31" s="117">
        <v>4094</v>
      </c>
      <c r="R31" s="1">
        <v>3726</v>
      </c>
      <c r="S31" s="1">
        <v>3506</v>
      </c>
      <c r="T31" s="1">
        <v>-13167</v>
      </c>
      <c r="U31" s="1">
        <v>3096</v>
      </c>
    </row>
    <row r="32" spans="1:21" x14ac:dyDescent="0.2">
      <c r="A32" s="26" t="s">
        <v>8</v>
      </c>
      <c r="B32" s="12"/>
      <c r="C32" s="12"/>
      <c r="D32" s="12"/>
      <c r="E32" s="1">
        <v>18159</v>
      </c>
      <c r="F32" s="1">
        <v>18690</v>
      </c>
      <c r="G32" s="1">
        <v>8015</v>
      </c>
      <c r="H32" s="2">
        <v>8521</v>
      </c>
      <c r="I32" s="2">
        <v>6449</v>
      </c>
      <c r="J32" s="2">
        <v>79373</v>
      </c>
      <c r="K32" s="2">
        <v>6927</v>
      </c>
      <c r="L32" s="102">
        <v>9909</v>
      </c>
      <c r="M32" s="117">
        <v>5910</v>
      </c>
      <c r="N32" s="117">
        <v>8025</v>
      </c>
      <c r="O32" s="117">
        <v>2448</v>
      </c>
      <c r="P32" s="117">
        <v>3263</v>
      </c>
      <c r="Q32" s="117">
        <v>1004</v>
      </c>
      <c r="R32" s="2">
        <v>5998</v>
      </c>
      <c r="S32" s="1">
        <v>2648</v>
      </c>
      <c r="T32" s="1">
        <v>4070</v>
      </c>
      <c r="U32" s="1">
        <v>4457</v>
      </c>
    </row>
    <row r="33" spans="1:21" x14ac:dyDescent="0.2">
      <c r="A33" s="26" t="s">
        <v>9</v>
      </c>
      <c r="B33" s="12"/>
      <c r="C33" s="12"/>
      <c r="D33" s="12"/>
      <c r="E33" s="1">
        <v>13936</v>
      </c>
      <c r="F33" s="1">
        <f>5683+1694.58</f>
        <v>7377.58</v>
      </c>
      <c r="G33" s="1">
        <v>10823</v>
      </c>
      <c r="H33" s="2">
        <v>9312</v>
      </c>
      <c r="I33" s="2">
        <v>7400</v>
      </c>
      <c r="J33" s="2">
        <v>10226</v>
      </c>
      <c r="K33" s="2">
        <v>8885</v>
      </c>
      <c r="L33" s="102">
        <v>8361</v>
      </c>
      <c r="M33" s="117">
        <v>7437</v>
      </c>
      <c r="N33" s="117">
        <v>6792</v>
      </c>
      <c r="O33" s="117">
        <v>3165</v>
      </c>
      <c r="P33" s="117">
        <v>3950</v>
      </c>
      <c r="Q33" s="117">
        <v>5076</v>
      </c>
      <c r="R33" s="1">
        <v>138870</v>
      </c>
      <c r="S33" s="1">
        <v>3668</v>
      </c>
      <c r="T33" s="1">
        <v>5493</v>
      </c>
      <c r="U33" s="1">
        <v>4821</v>
      </c>
    </row>
    <row r="34" spans="1:21" x14ac:dyDescent="0.2">
      <c r="A34" s="26" t="s">
        <v>10</v>
      </c>
      <c r="B34" s="12"/>
      <c r="C34" s="12"/>
      <c r="D34" s="12"/>
      <c r="E34" s="1">
        <v>8868.7800000000007</v>
      </c>
      <c r="F34" s="1"/>
      <c r="G34" s="1">
        <v>12866</v>
      </c>
      <c r="H34" s="2">
        <v>9020</v>
      </c>
      <c r="I34" s="2">
        <v>8947</v>
      </c>
      <c r="J34" s="2">
        <v>9921</v>
      </c>
      <c r="K34" s="2">
        <v>8981</v>
      </c>
      <c r="L34" s="102">
        <v>7549</v>
      </c>
      <c r="M34" s="117">
        <v>4977</v>
      </c>
      <c r="N34" s="117">
        <v>4640</v>
      </c>
      <c r="O34" s="117">
        <v>6942</v>
      </c>
      <c r="P34" s="117">
        <v>4759</v>
      </c>
      <c r="Q34" s="117">
        <v>4512</v>
      </c>
      <c r="R34" s="1">
        <v>4246</v>
      </c>
      <c r="S34" s="1">
        <v>4434</v>
      </c>
      <c r="T34" s="1">
        <v>5141</v>
      </c>
      <c r="U34" s="1">
        <v>4831</v>
      </c>
    </row>
    <row r="35" spans="1:21" x14ac:dyDescent="0.2">
      <c r="A35" s="26" t="s">
        <v>11</v>
      </c>
      <c r="B35" s="13"/>
      <c r="C35" s="23"/>
      <c r="D35" s="23"/>
      <c r="E35" s="39">
        <v>13836</v>
      </c>
      <c r="F35" s="39">
        <v>20292</v>
      </c>
      <c r="G35" s="39">
        <v>8719</v>
      </c>
      <c r="H35" s="40">
        <v>10973</v>
      </c>
      <c r="I35" s="40">
        <v>4816</v>
      </c>
      <c r="J35" s="40">
        <v>9271</v>
      </c>
      <c r="K35" s="40">
        <v>20288</v>
      </c>
      <c r="L35" s="95">
        <v>7763</v>
      </c>
      <c r="M35" s="95">
        <v>5308</v>
      </c>
      <c r="N35" s="95">
        <v>3031</v>
      </c>
      <c r="O35" s="95">
        <v>1677</v>
      </c>
      <c r="P35" s="95">
        <v>2153</v>
      </c>
      <c r="Q35" s="95">
        <v>3306</v>
      </c>
      <c r="R35" s="1">
        <v>2485</v>
      </c>
      <c r="S35" s="1">
        <v>12654</v>
      </c>
      <c r="T35" s="1">
        <v>4925</v>
      </c>
      <c r="U35" s="1">
        <v>3472</v>
      </c>
    </row>
    <row r="36" spans="1:21" x14ac:dyDescent="0.2">
      <c r="A36" s="25"/>
      <c r="B36" s="14"/>
      <c r="C36" s="14"/>
      <c r="D36" s="14"/>
      <c r="E36" s="41">
        <f t="shared" ref="E36:J36" si="5">SUM(E24:E35)</f>
        <v>98901.73</v>
      </c>
      <c r="F36" s="41">
        <f t="shared" si="5"/>
        <v>147777.19</v>
      </c>
      <c r="G36" s="41">
        <f t="shared" si="5"/>
        <v>112574</v>
      </c>
      <c r="H36" s="41">
        <f t="shared" si="5"/>
        <v>110138</v>
      </c>
      <c r="I36" s="44">
        <f t="shared" si="5"/>
        <v>100727</v>
      </c>
      <c r="J36" s="44">
        <f t="shared" si="5"/>
        <v>180352</v>
      </c>
      <c r="K36" s="44">
        <f t="shared" ref="K36:P36" si="6">SUM(K24:K35)</f>
        <v>106922</v>
      </c>
      <c r="L36" s="96">
        <f t="shared" si="6"/>
        <v>104025</v>
      </c>
      <c r="M36" s="96">
        <f t="shared" si="6"/>
        <v>92869</v>
      </c>
      <c r="N36" s="96">
        <f t="shared" si="6"/>
        <v>66770</v>
      </c>
      <c r="O36" s="96">
        <f t="shared" si="6"/>
        <v>44015</v>
      </c>
      <c r="P36" s="96">
        <f t="shared" si="6"/>
        <v>40962</v>
      </c>
      <c r="Q36" s="96">
        <f t="shared" ref="Q36:T36" si="7">SUM(Q24:Q35)</f>
        <v>53440</v>
      </c>
      <c r="R36" s="126">
        <f t="shared" ref="R36" si="8">SUM(R24:R35)</f>
        <v>186021</v>
      </c>
      <c r="S36" s="126">
        <f t="shared" si="7"/>
        <v>44255</v>
      </c>
      <c r="T36" s="126">
        <f t="shared" si="7"/>
        <v>-22092</v>
      </c>
      <c r="U36" s="126">
        <f t="shared" ref="U36" si="9">SUM(U24:U35)</f>
        <v>51731</v>
      </c>
    </row>
    <row r="37" spans="1:21" x14ac:dyDescent="0.2">
      <c r="G37" s="7"/>
      <c r="L37" s="94"/>
    </row>
    <row r="38" spans="1:21" x14ac:dyDescent="0.2">
      <c r="G38" s="7"/>
    </row>
    <row r="39" spans="1:21" x14ac:dyDescent="0.2">
      <c r="A39" s="29" t="s">
        <v>260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-2503</v>
      </c>
      <c r="K42" s="2">
        <v>0</v>
      </c>
      <c r="L42" s="2">
        <v>-869</v>
      </c>
      <c r="M42" s="2">
        <v>-125795</v>
      </c>
      <c r="N42" s="2">
        <v>-2725</v>
      </c>
      <c r="O42" s="117">
        <v>-11847</v>
      </c>
      <c r="P42" s="117">
        <v>-1939</v>
      </c>
      <c r="Q42" s="117">
        <v>-2204</v>
      </c>
      <c r="R42" s="1">
        <v>0</v>
      </c>
      <c r="S42" s="117">
        <v>-1</v>
      </c>
      <c r="T42" s="1">
        <v>-10</v>
      </c>
      <c r="U42" s="1">
        <v>-769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-8397</v>
      </c>
      <c r="H43" s="2">
        <v>-14431</v>
      </c>
      <c r="I43" s="2">
        <v>-47064</v>
      </c>
      <c r="J43" s="2">
        <v>-3149</v>
      </c>
      <c r="K43" s="2">
        <v>0</v>
      </c>
      <c r="L43" s="2">
        <v>0</v>
      </c>
      <c r="M43" s="2">
        <v>-43050</v>
      </c>
      <c r="N43" s="2">
        <v>-55</v>
      </c>
      <c r="O43" s="117">
        <v>-65</v>
      </c>
      <c r="P43" s="117">
        <v>0</v>
      </c>
      <c r="Q43" s="117">
        <v>-134</v>
      </c>
      <c r="R43" s="1">
        <v>-13530</v>
      </c>
      <c r="S43" s="117">
        <v>0</v>
      </c>
      <c r="T43" s="1">
        <v>0</v>
      </c>
      <c r="U43" s="117">
        <v>-1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0</v>
      </c>
      <c r="H44" s="2">
        <v>-8782</v>
      </c>
      <c r="I44" s="2">
        <v>-12861</v>
      </c>
      <c r="J44" s="2">
        <v>0</v>
      </c>
      <c r="K44" s="2">
        <v>0</v>
      </c>
      <c r="L44" s="2">
        <v>-52</v>
      </c>
      <c r="M44" s="2">
        <v>-525</v>
      </c>
      <c r="N44" s="2">
        <v>-39656</v>
      </c>
      <c r="O44" s="117">
        <v>0</v>
      </c>
      <c r="P44" s="117">
        <v>-505</v>
      </c>
      <c r="Q44" s="117">
        <v>-466</v>
      </c>
      <c r="R44" s="117">
        <v>0</v>
      </c>
      <c r="S44" s="1">
        <v>-44825</v>
      </c>
      <c r="T44" s="1">
        <v>0</v>
      </c>
      <c r="U44" s="1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-3052</v>
      </c>
      <c r="I45" s="2">
        <v>-90</v>
      </c>
      <c r="J45" s="2">
        <v>0</v>
      </c>
      <c r="K45" s="2">
        <v>0</v>
      </c>
      <c r="L45" s="2">
        <v>-42043</v>
      </c>
      <c r="M45" s="2">
        <v>-5</v>
      </c>
      <c r="N45" s="2">
        <v>-9</v>
      </c>
      <c r="O45" s="117">
        <v>0</v>
      </c>
      <c r="P45" s="117">
        <v>0</v>
      </c>
      <c r="Q45" s="117">
        <v>-48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-200</v>
      </c>
      <c r="H46" s="2">
        <v>0</v>
      </c>
      <c r="I46" s="2">
        <v>0</v>
      </c>
      <c r="J46" s="2">
        <v>-54</v>
      </c>
      <c r="K46" s="2">
        <v>-6250</v>
      </c>
      <c r="L46" s="2">
        <v>-5</v>
      </c>
      <c r="M46" s="2">
        <v>-25078</v>
      </c>
      <c r="N46" s="2">
        <v>0</v>
      </c>
      <c r="O46" s="117">
        <v>-6749</v>
      </c>
      <c r="P46" s="117">
        <v>-877</v>
      </c>
      <c r="Q46" s="117">
        <v>0</v>
      </c>
      <c r="R46" s="117">
        <v>0</v>
      </c>
      <c r="S46" s="117">
        <v>0</v>
      </c>
      <c r="T46" s="1">
        <v>0</v>
      </c>
      <c r="U46" s="117">
        <v>-28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-54</v>
      </c>
      <c r="H47" s="2">
        <v>0</v>
      </c>
      <c r="I47" s="2">
        <v>0</v>
      </c>
      <c r="J47" s="2">
        <v>0</v>
      </c>
      <c r="K47" s="2">
        <v>-7</v>
      </c>
      <c r="L47" s="2">
        <v>0</v>
      </c>
      <c r="M47" s="2">
        <v>0</v>
      </c>
      <c r="N47" s="2">
        <v>0</v>
      </c>
      <c r="O47" s="117">
        <v>-258</v>
      </c>
      <c r="P47" s="117">
        <v>0</v>
      </c>
      <c r="Q47" s="117">
        <v>-180</v>
      </c>
      <c r="R47" s="1">
        <v>-1391</v>
      </c>
      <c r="S47" s="117">
        <v>0</v>
      </c>
      <c r="T47" s="1">
        <v>0</v>
      </c>
      <c r="U47" s="1">
        <v>-2884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-2740</v>
      </c>
      <c r="H48" s="2">
        <v>0</v>
      </c>
      <c r="I48" s="2">
        <v>-6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7">
        <v>0</v>
      </c>
      <c r="P48" s="117">
        <v>0</v>
      </c>
      <c r="Q48" s="117">
        <v>-1</v>
      </c>
      <c r="R48" s="1">
        <v>-1</v>
      </c>
      <c r="S48" s="117">
        <v>0</v>
      </c>
      <c r="T48" s="1">
        <v>-837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-6</v>
      </c>
      <c r="I49" s="2">
        <v>-235</v>
      </c>
      <c r="J49" s="2">
        <v>-96</v>
      </c>
      <c r="K49" s="2">
        <v>-17174</v>
      </c>
      <c r="L49" s="2">
        <v>-80204</v>
      </c>
      <c r="M49" s="2">
        <v>-254</v>
      </c>
      <c r="N49" s="2">
        <v>0</v>
      </c>
      <c r="O49" s="117">
        <v>0</v>
      </c>
      <c r="P49" s="117">
        <v>0</v>
      </c>
      <c r="Q49" s="117">
        <v>-1875</v>
      </c>
      <c r="R49" s="117">
        <v>-47</v>
      </c>
      <c r="S49" s="1">
        <v>-1403</v>
      </c>
      <c r="T49" s="1">
        <v>-224</v>
      </c>
      <c r="U49" s="1">
        <v>-2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-103</v>
      </c>
      <c r="H50" s="2">
        <v>0</v>
      </c>
      <c r="I50" s="2">
        <v>-24</v>
      </c>
      <c r="J50" s="2">
        <v>-319463</v>
      </c>
      <c r="K50" s="2">
        <v>0</v>
      </c>
      <c r="L50" s="2">
        <v>0</v>
      </c>
      <c r="M50" s="2">
        <v>-170</v>
      </c>
      <c r="N50" s="2">
        <v>0</v>
      </c>
      <c r="O50" s="117">
        <v>-330</v>
      </c>
      <c r="P50" s="117">
        <v>0</v>
      </c>
      <c r="Q50" s="117">
        <v>-3121</v>
      </c>
      <c r="R50" s="117">
        <v>0</v>
      </c>
      <c r="S50" s="117">
        <v>-403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0</v>
      </c>
      <c r="H51" s="2">
        <v>0</v>
      </c>
      <c r="I51" s="2">
        <v>-93184</v>
      </c>
      <c r="J51" s="2">
        <v>0</v>
      </c>
      <c r="K51" s="2">
        <v>-20008</v>
      </c>
      <c r="L51" s="2">
        <v>0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0</v>
      </c>
      <c r="H52" s="2">
        <v>-418</v>
      </c>
      <c r="I52" s="2">
        <v>-16730</v>
      </c>
      <c r="J52" s="2">
        <v>-5608</v>
      </c>
      <c r="K52" s="2">
        <v>-1111</v>
      </c>
      <c r="L52" s="2">
        <v>-133442</v>
      </c>
      <c r="M52" s="2">
        <v>-1</v>
      </c>
      <c r="N52" s="2">
        <v>-1</v>
      </c>
      <c r="O52" s="117">
        <v>-1</v>
      </c>
      <c r="P52" s="117">
        <v>-70575</v>
      </c>
      <c r="Q52" s="117">
        <v>-13530</v>
      </c>
      <c r="R52" s="1">
        <v>-79661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-58</v>
      </c>
      <c r="G53" s="40">
        <v>0</v>
      </c>
      <c r="H53" s="40">
        <v>-27</v>
      </c>
      <c r="I53" s="40">
        <v>-92</v>
      </c>
      <c r="J53" s="40">
        <v>-7939</v>
      </c>
      <c r="K53" s="40">
        <v>-239622</v>
      </c>
      <c r="L53" s="40">
        <v>-1000</v>
      </c>
      <c r="M53" s="40">
        <v>-612</v>
      </c>
      <c r="N53" s="40">
        <v>0</v>
      </c>
      <c r="O53" s="40">
        <v>-1</v>
      </c>
      <c r="P53" s="40">
        <v>-2</v>
      </c>
      <c r="Q53" s="40">
        <v>0</v>
      </c>
      <c r="R53" s="1">
        <v>-20499</v>
      </c>
      <c r="S53" s="183">
        <v>0</v>
      </c>
      <c r="T53" s="1">
        <v>-2</v>
      </c>
      <c r="U53" s="183">
        <v>-875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-58</v>
      </c>
      <c r="G54" s="126">
        <f t="shared" si="10"/>
        <v>-11494</v>
      </c>
      <c r="H54" s="126">
        <f t="shared" si="10"/>
        <v>-26716</v>
      </c>
      <c r="I54" s="126">
        <f t="shared" si="10"/>
        <v>-170286</v>
      </c>
      <c r="J54" s="126">
        <f t="shared" si="10"/>
        <v>-338812</v>
      </c>
      <c r="K54" s="126">
        <f t="shared" si="10"/>
        <v>-284172</v>
      </c>
      <c r="L54" s="126">
        <f t="shared" si="10"/>
        <v>-257615</v>
      </c>
      <c r="M54" s="126">
        <f t="shared" si="10"/>
        <v>-195490</v>
      </c>
      <c r="N54" s="126">
        <f t="shared" si="10"/>
        <v>-42446</v>
      </c>
      <c r="O54" s="96">
        <f>SUM(O42:O53)</f>
        <v>-19251</v>
      </c>
      <c r="P54" s="96">
        <f>SUM(P42:P53)</f>
        <v>-73898</v>
      </c>
      <c r="Q54" s="96">
        <f>SUM(Q42:Q53)</f>
        <v>-21559</v>
      </c>
      <c r="R54" s="126">
        <f t="shared" ref="R54" si="11">SUM(R42:R53)</f>
        <v>-115129</v>
      </c>
      <c r="S54" s="126">
        <f>SUM(S42:S53)</f>
        <v>-46632</v>
      </c>
      <c r="T54" s="126">
        <f t="shared" ref="T54" si="12">SUM(T42:T53)</f>
        <v>-1073</v>
      </c>
      <c r="U54" s="126">
        <f>SUM(U42:U53)</f>
        <v>-4559</v>
      </c>
    </row>
  </sheetData>
  <phoneticPr fontId="6" type="noConversion"/>
  <pageMargins left="0.7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pageSetUpPr fitToPage="1"/>
  </sheetPr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6.5703125" bestFit="1" customWidth="1"/>
    <col min="5" max="5" width="9.140625" bestFit="1" customWidth="1"/>
    <col min="6" max="6" width="9.5703125" customWidth="1"/>
    <col min="7" max="8" width="9.140625" bestFit="1" customWidth="1"/>
    <col min="9" max="9" width="8.5703125" bestFit="1" customWidth="1"/>
    <col min="10" max="11" width="8.85546875" bestFit="1" customWidth="1"/>
    <col min="12" max="13" width="9.28515625" bestFit="1" customWidth="1"/>
    <col min="14" max="14" width="9.5703125" bestFit="1" customWidth="1"/>
    <col min="15" max="17" width="9.28515625" bestFit="1" customWidth="1"/>
    <col min="18" max="21" width="10.7109375" bestFit="1" customWidth="1"/>
  </cols>
  <sheetData>
    <row r="2" spans="1:21" x14ac:dyDescent="0.2">
      <c r="A2" s="24" t="s">
        <v>62</v>
      </c>
      <c r="B2" s="148">
        <v>5.0000000000000001E-3</v>
      </c>
      <c r="D2" s="94" t="s">
        <v>198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2"/>
      <c r="C5" s="12"/>
      <c r="D5" s="12"/>
      <c r="E5" s="1"/>
      <c r="F5" s="1">
        <v>74422</v>
      </c>
      <c r="G5" s="1">
        <v>71078</v>
      </c>
      <c r="H5" s="2">
        <v>73056</v>
      </c>
      <c r="I5" s="2">
        <v>81930</v>
      </c>
      <c r="J5" s="2">
        <v>75293</v>
      </c>
      <c r="K5" s="2">
        <v>74129</v>
      </c>
      <c r="L5" s="102">
        <v>75634</v>
      </c>
      <c r="M5" s="117">
        <v>75769</v>
      </c>
      <c r="N5" s="117">
        <v>76320</v>
      </c>
      <c r="O5" s="117">
        <v>87206</v>
      </c>
      <c r="P5" s="117">
        <v>80241</v>
      </c>
      <c r="Q5" s="117">
        <v>85224</v>
      </c>
      <c r="R5" s="1">
        <v>92543</v>
      </c>
      <c r="S5" s="1">
        <v>108919</v>
      </c>
      <c r="T5" s="1">
        <v>111315</v>
      </c>
      <c r="U5" s="1">
        <v>120180</v>
      </c>
    </row>
    <row r="6" spans="1:21" x14ac:dyDescent="0.2">
      <c r="A6" s="26" t="s">
        <v>1</v>
      </c>
      <c r="B6" s="12"/>
      <c r="C6" s="12"/>
      <c r="D6" s="12"/>
      <c r="E6" s="1"/>
      <c r="F6" s="1">
        <v>59929.599999999999</v>
      </c>
      <c r="G6" s="1">
        <v>63107</v>
      </c>
      <c r="H6" s="2">
        <v>57260</v>
      </c>
      <c r="I6" s="2">
        <v>54614</v>
      </c>
      <c r="J6" s="2">
        <v>58651</v>
      </c>
      <c r="K6" s="2">
        <v>62041</v>
      </c>
      <c r="L6" s="102">
        <v>45888</v>
      </c>
      <c r="M6" s="117">
        <v>59486</v>
      </c>
      <c r="N6" s="117">
        <v>240076</v>
      </c>
      <c r="O6" s="117">
        <v>62765</v>
      </c>
      <c r="P6" s="117">
        <v>60993</v>
      </c>
      <c r="Q6" s="117">
        <v>70377</v>
      </c>
      <c r="R6" s="1">
        <v>79091</v>
      </c>
      <c r="S6" s="1">
        <v>88882</v>
      </c>
      <c r="T6" s="1">
        <v>89639</v>
      </c>
      <c r="U6" s="1">
        <v>93349</v>
      </c>
    </row>
    <row r="7" spans="1:21" x14ac:dyDescent="0.2">
      <c r="A7" s="26" t="s">
        <v>2</v>
      </c>
      <c r="B7" s="12"/>
      <c r="C7" s="12"/>
      <c r="D7" s="12"/>
      <c r="E7" s="1"/>
      <c r="F7" s="1">
        <v>53004</v>
      </c>
      <c r="G7" s="1">
        <v>62825</v>
      </c>
      <c r="H7" s="2">
        <v>57115</v>
      </c>
      <c r="I7" s="2">
        <v>59978</v>
      </c>
      <c r="J7" s="2">
        <v>56953</v>
      </c>
      <c r="K7" s="2">
        <v>56246</v>
      </c>
      <c r="L7" s="106">
        <v>53431</v>
      </c>
      <c r="M7" s="117">
        <v>59419</v>
      </c>
      <c r="N7" s="117">
        <v>-113177</v>
      </c>
      <c r="O7" s="117">
        <v>62265</v>
      </c>
      <c r="P7" s="117">
        <v>57535</v>
      </c>
      <c r="Q7" s="117">
        <v>61468</v>
      </c>
      <c r="R7" s="1">
        <v>76506</v>
      </c>
      <c r="S7" s="1">
        <v>79523</v>
      </c>
      <c r="T7" s="1">
        <v>92396</v>
      </c>
      <c r="U7" s="1">
        <v>89026</v>
      </c>
    </row>
    <row r="8" spans="1:21" x14ac:dyDescent="0.2">
      <c r="A8" s="26" t="s">
        <v>3</v>
      </c>
      <c r="B8" s="12"/>
      <c r="C8" s="12"/>
      <c r="D8" s="12"/>
      <c r="E8" s="1">
        <v>87</v>
      </c>
      <c r="F8" s="1">
        <v>62324.06</v>
      </c>
      <c r="G8" s="1">
        <v>58061</v>
      </c>
      <c r="H8" s="2">
        <v>60572</v>
      </c>
      <c r="I8" s="2">
        <v>65092</v>
      </c>
      <c r="J8" s="2">
        <v>76806</v>
      </c>
      <c r="K8" s="2">
        <v>65572</v>
      </c>
      <c r="L8" s="106">
        <v>64640</v>
      </c>
      <c r="M8" s="117">
        <v>65577</v>
      </c>
      <c r="N8" s="117">
        <v>74311</v>
      </c>
      <c r="O8" s="117">
        <v>72531</v>
      </c>
      <c r="P8" s="117">
        <v>69889</v>
      </c>
      <c r="Q8" s="117">
        <v>71399</v>
      </c>
      <c r="R8" s="1">
        <v>75790</v>
      </c>
      <c r="S8" s="1">
        <v>101506</v>
      </c>
      <c r="T8" s="1">
        <v>109613</v>
      </c>
      <c r="U8" s="1">
        <v>107642</v>
      </c>
    </row>
    <row r="9" spans="1:21" x14ac:dyDescent="0.2">
      <c r="A9" s="26" t="s">
        <v>4</v>
      </c>
      <c r="B9" s="12"/>
      <c r="C9" s="12"/>
      <c r="D9" s="12"/>
      <c r="E9" s="1">
        <f>46478+47</f>
        <v>46525</v>
      </c>
      <c r="F9" s="1">
        <v>60474.76</v>
      </c>
      <c r="G9" s="1">
        <v>57782</v>
      </c>
      <c r="H9" s="2">
        <v>61991</v>
      </c>
      <c r="I9" s="2">
        <v>73818</v>
      </c>
      <c r="J9" s="2">
        <v>65875</v>
      </c>
      <c r="K9" s="2">
        <v>60323</v>
      </c>
      <c r="L9" s="106">
        <v>61373</v>
      </c>
      <c r="M9" s="117">
        <v>66104</v>
      </c>
      <c r="N9" s="117">
        <v>81042</v>
      </c>
      <c r="O9" s="117">
        <v>69165</v>
      </c>
      <c r="P9" s="117">
        <v>71075</v>
      </c>
      <c r="Q9" s="117">
        <v>64123</v>
      </c>
      <c r="R9" s="1">
        <v>78525</v>
      </c>
      <c r="S9" s="1">
        <v>104244</v>
      </c>
      <c r="T9" s="1">
        <v>103712</v>
      </c>
      <c r="U9" s="1">
        <v>100662</v>
      </c>
    </row>
    <row r="10" spans="1:21" x14ac:dyDescent="0.2">
      <c r="A10" s="26" t="s">
        <v>5</v>
      </c>
      <c r="B10" s="12"/>
      <c r="C10" s="12"/>
      <c r="D10" s="12"/>
      <c r="E10" s="1">
        <f>62943+428</f>
        <v>63371</v>
      </c>
      <c r="F10" s="1">
        <v>65986.34</v>
      </c>
      <c r="G10" s="1">
        <v>66381</v>
      </c>
      <c r="H10" s="2">
        <v>61523</v>
      </c>
      <c r="I10" s="2">
        <v>66207</v>
      </c>
      <c r="J10" s="2">
        <v>72425</v>
      </c>
      <c r="K10" s="2">
        <v>73394</v>
      </c>
      <c r="L10" s="106">
        <v>77631</v>
      </c>
      <c r="M10" s="117">
        <v>73771</v>
      </c>
      <c r="N10" s="117">
        <v>80242</v>
      </c>
      <c r="O10" s="117">
        <v>77161</v>
      </c>
      <c r="P10" s="117">
        <v>97964</v>
      </c>
      <c r="Q10" s="117">
        <v>93134</v>
      </c>
      <c r="R10" s="1">
        <v>103700</v>
      </c>
      <c r="S10" s="1">
        <v>106072</v>
      </c>
      <c r="T10" s="1">
        <v>117431</v>
      </c>
      <c r="U10" s="1">
        <v>128508</v>
      </c>
    </row>
    <row r="11" spans="1:21" x14ac:dyDescent="0.2">
      <c r="A11" s="26" t="s">
        <v>6</v>
      </c>
      <c r="B11" s="12"/>
      <c r="C11" s="12"/>
      <c r="D11" s="12"/>
      <c r="E11" s="1">
        <v>63270</v>
      </c>
      <c r="F11" s="1">
        <v>67547.42</v>
      </c>
      <c r="G11" s="1">
        <v>64663</v>
      </c>
      <c r="H11" s="2">
        <v>67750</v>
      </c>
      <c r="I11" s="2">
        <v>68333</v>
      </c>
      <c r="J11" s="2">
        <v>72022</v>
      </c>
      <c r="K11" s="2">
        <v>68080</v>
      </c>
      <c r="L11" s="106">
        <v>72949</v>
      </c>
      <c r="M11" s="117">
        <v>71766</v>
      </c>
      <c r="N11" s="117">
        <v>78222</v>
      </c>
      <c r="O11" s="117">
        <v>80274</v>
      </c>
      <c r="P11" s="117">
        <v>88427</v>
      </c>
      <c r="Q11" s="117">
        <v>90970</v>
      </c>
      <c r="R11" s="1">
        <v>126504</v>
      </c>
      <c r="S11" s="1">
        <v>125820</v>
      </c>
      <c r="T11" s="1">
        <v>137358</v>
      </c>
      <c r="U11" s="1">
        <v>145196</v>
      </c>
    </row>
    <row r="12" spans="1:21" x14ac:dyDescent="0.2">
      <c r="A12" s="26" t="s">
        <v>7</v>
      </c>
      <c r="B12" s="12"/>
      <c r="C12" s="12"/>
      <c r="D12" s="12"/>
      <c r="E12" s="1">
        <f>75579+79</f>
        <v>75658</v>
      </c>
      <c r="F12" s="1">
        <v>80723.89</v>
      </c>
      <c r="G12" s="1">
        <v>76521</v>
      </c>
      <c r="H12" s="2">
        <v>77288</v>
      </c>
      <c r="I12" s="2">
        <v>73184</v>
      </c>
      <c r="J12" s="2">
        <v>79053</v>
      </c>
      <c r="K12" s="2">
        <v>86201</v>
      </c>
      <c r="L12" s="106">
        <v>77451</v>
      </c>
      <c r="M12" s="117">
        <v>85200</v>
      </c>
      <c r="N12" s="117">
        <v>86978</v>
      </c>
      <c r="O12" s="117">
        <v>83655</v>
      </c>
      <c r="P12" s="117">
        <v>87505</v>
      </c>
      <c r="Q12" s="117">
        <v>95914</v>
      </c>
      <c r="R12" s="1">
        <v>115405</v>
      </c>
      <c r="S12" s="1">
        <v>122843</v>
      </c>
      <c r="T12" s="1">
        <v>128464</v>
      </c>
      <c r="U12" s="1">
        <v>121866</v>
      </c>
    </row>
    <row r="13" spans="1:21" x14ac:dyDescent="0.2">
      <c r="A13" s="26" t="s">
        <v>8</v>
      </c>
      <c r="B13" s="12"/>
      <c r="C13" s="12"/>
      <c r="D13" s="12"/>
      <c r="E13" s="1">
        <f>68067.39-119</f>
        <v>67948.39</v>
      </c>
      <c r="F13" s="1">
        <v>73986.81</v>
      </c>
      <c r="G13" s="1">
        <v>67058</v>
      </c>
      <c r="H13" s="2">
        <v>72056</v>
      </c>
      <c r="I13" s="2">
        <v>74059</v>
      </c>
      <c r="J13" s="2">
        <v>71738</v>
      </c>
      <c r="K13" s="2">
        <v>74107</v>
      </c>
      <c r="L13" s="106">
        <v>74678</v>
      </c>
      <c r="M13" s="117">
        <v>78209</v>
      </c>
      <c r="N13" s="117">
        <v>82214</v>
      </c>
      <c r="O13" s="117">
        <v>79605</v>
      </c>
      <c r="P13" s="117">
        <v>82700</v>
      </c>
      <c r="Q13" s="117">
        <v>99674</v>
      </c>
      <c r="R13" s="2">
        <v>112425</v>
      </c>
      <c r="S13" s="1">
        <v>109287</v>
      </c>
      <c r="T13" s="1">
        <v>120491</v>
      </c>
      <c r="U13" s="1">
        <v>125861</v>
      </c>
    </row>
    <row r="14" spans="1:21" x14ac:dyDescent="0.2">
      <c r="A14" s="26" t="s">
        <v>9</v>
      </c>
      <c r="B14" s="12"/>
      <c r="C14" s="12"/>
      <c r="D14" s="12"/>
      <c r="E14" s="1">
        <f>69411+30</f>
        <v>69441</v>
      </c>
      <c r="F14" s="1">
        <f>67565.4+15</f>
        <v>67580.399999999994</v>
      </c>
      <c r="G14" s="1">
        <v>75619</v>
      </c>
      <c r="H14" s="2">
        <v>68370</v>
      </c>
      <c r="I14" s="2">
        <v>75758</v>
      </c>
      <c r="J14" s="2">
        <v>76549</v>
      </c>
      <c r="K14" s="2">
        <v>74194</v>
      </c>
      <c r="L14" s="106">
        <v>72163</v>
      </c>
      <c r="M14" s="117">
        <v>76700</v>
      </c>
      <c r="N14" s="117">
        <v>84535</v>
      </c>
      <c r="O14" s="117">
        <v>80657</v>
      </c>
      <c r="P14" s="117">
        <v>78897</v>
      </c>
      <c r="Q14" s="117">
        <v>86694</v>
      </c>
      <c r="R14" s="1">
        <v>114392</v>
      </c>
      <c r="S14" s="1">
        <v>118819</v>
      </c>
      <c r="T14" s="1">
        <v>122732</v>
      </c>
      <c r="U14" s="1">
        <v>121844</v>
      </c>
    </row>
    <row r="15" spans="1:21" x14ac:dyDescent="0.2">
      <c r="A15" s="26" t="s">
        <v>10</v>
      </c>
      <c r="B15" s="12"/>
      <c r="C15" s="12"/>
      <c r="D15" s="12"/>
      <c r="E15" s="1">
        <v>65630.210000000006</v>
      </c>
      <c r="F15" s="1"/>
      <c r="G15" s="1">
        <v>68077</v>
      </c>
      <c r="H15" s="2">
        <v>63148</v>
      </c>
      <c r="I15" s="2">
        <v>64032</v>
      </c>
      <c r="J15" s="2">
        <v>67651</v>
      </c>
      <c r="K15" s="2">
        <v>67740</v>
      </c>
      <c r="L15" s="106">
        <v>70072</v>
      </c>
      <c r="M15" s="117">
        <v>72060</v>
      </c>
      <c r="N15" s="117">
        <v>77658</v>
      </c>
      <c r="O15" s="117">
        <v>72303</v>
      </c>
      <c r="P15" s="117">
        <v>79018</v>
      </c>
      <c r="Q15" s="117">
        <v>86957</v>
      </c>
      <c r="R15" s="1">
        <v>92611</v>
      </c>
      <c r="S15" s="1">
        <v>96976</v>
      </c>
      <c r="T15" s="1">
        <v>112354</v>
      </c>
      <c r="U15" s="1">
        <v>113873</v>
      </c>
    </row>
    <row r="16" spans="1:21" ht="12.75" customHeight="1" x14ac:dyDescent="0.2">
      <c r="A16" s="26" t="s">
        <v>11</v>
      </c>
      <c r="B16" s="13"/>
      <c r="C16" s="23"/>
      <c r="D16" s="23"/>
      <c r="E16" s="39">
        <v>63750.01</v>
      </c>
      <c r="F16" s="39">
        <v>112604</v>
      </c>
      <c r="G16" s="39">
        <v>61037</v>
      </c>
      <c r="H16" s="40">
        <v>58668</v>
      </c>
      <c r="I16" s="40">
        <v>61659</v>
      </c>
      <c r="J16" s="40">
        <v>64020</v>
      </c>
      <c r="K16" s="40">
        <v>67284</v>
      </c>
      <c r="L16" s="95">
        <v>73872</v>
      </c>
      <c r="M16" s="95">
        <v>74884</v>
      </c>
      <c r="N16" s="95">
        <v>69130</v>
      </c>
      <c r="O16" s="95">
        <v>64241</v>
      </c>
      <c r="P16" s="95">
        <v>78301</v>
      </c>
      <c r="Q16" s="95">
        <v>79002</v>
      </c>
      <c r="R16" s="1">
        <v>84070</v>
      </c>
      <c r="S16" s="1">
        <v>100124</v>
      </c>
      <c r="T16" s="1">
        <v>105331</v>
      </c>
      <c r="U16" s="1">
        <v>105963</v>
      </c>
    </row>
    <row r="17" spans="1:21" x14ac:dyDescent="0.2">
      <c r="A17" s="25"/>
      <c r="B17" s="14"/>
      <c r="C17" s="14"/>
      <c r="D17" s="44"/>
      <c r="E17" s="41">
        <f t="shared" ref="E17:J17" si="0">SUM(E5:E16)</f>
        <v>515680.61000000004</v>
      </c>
      <c r="F17" s="41">
        <f t="shared" si="0"/>
        <v>778583.27999999991</v>
      </c>
      <c r="G17" s="41">
        <f t="shared" si="0"/>
        <v>792209</v>
      </c>
      <c r="H17" s="41">
        <f t="shared" si="0"/>
        <v>778797</v>
      </c>
      <c r="I17" s="44">
        <f t="shared" si="0"/>
        <v>818664</v>
      </c>
      <c r="J17" s="44">
        <f t="shared" si="0"/>
        <v>837036</v>
      </c>
      <c r="K17" s="44">
        <f t="shared" ref="K17:P17" si="1">SUM(K5:K16)</f>
        <v>829311</v>
      </c>
      <c r="L17" s="96">
        <f t="shared" si="1"/>
        <v>819782</v>
      </c>
      <c r="M17" s="96">
        <f t="shared" si="1"/>
        <v>858945</v>
      </c>
      <c r="N17" s="96">
        <f t="shared" si="1"/>
        <v>917551</v>
      </c>
      <c r="O17" s="96">
        <f t="shared" si="1"/>
        <v>891828</v>
      </c>
      <c r="P17" s="96">
        <f t="shared" si="1"/>
        <v>932545</v>
      </c>
      <c r="Q17" s="96">
        <f t="shared" ref="Q17:T17" si="2">SUM(Q5:Q16)</f>
        <v>984936</v>
      </c>
      <c r="R17" s="126">
        <f t="shared" ref="R17" si="3">SUM(R5:R16)</f>
        <v>1151562</v>
      </c>
      <c r="S17" s="126">
        <f t="shared" si="2"/>
        <v>1263015</v>
      </c>
      <c r="T17" s="126">
        <f t="shared" si="2"/>
        <v>1350836</v>
      </c>
      <c r="U17" s="126">
        <f t="shared" ref="U17" si="4">SUM(U5:U16)</f>
        <v>1373970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F19" s="35" t="s">
        <v>110</v>
      </c>
      <c r="G19" s="7"/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63</v>
      </c>
      <c r="B21" s="148">
        <v>5.0000000000000001E-3</v>
      </c>
      <c r="D21" s="94" t="s">
        <v>198</v>
      </c>
      <c r="H21" s="2"/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12"/>
      <c r="C24" s="12"/>
      <c r="D24" s="12"/>
      <c r="E24" s="1"/>
      <c r="F24" s="1">
        <v>5562</v>
      </c>
      <c r="G24" s="1">
        <v>10675</v>
      </c>
      <c r="H24" s="2">
        <v>5097</v>
      </c>
      <c r="I24" s="2">
        <v>-21097</v>
      </c>
      <c r="J24" s="2">
        <v>8838</v>
      </c>
      <c r="K24" s="2">
        <v>4623</v>
      </c>
      <c r="L24" s="102">
        <v>4843</v>
      </c>
      <c r="M24" s="117">
        <v>5867</v>
      </c>
      <c r="N24" s="117">
        <v>4609</v>
      </c>
      <c r="O24" s="117">
        <v>7487</v>
      </c>
      <c r="P24" s="117">
        <v>7319</v>
      </c>
      <c r="Q24" s="117">
        <v>6943</v>
      </c>
      <c r="R24" s="1">
        <v>5373</v>
      </c>
      <c r="S24" s="1">
        <v>6498</v>
      </c>
      <c r="T24" s="1">
        <v>6100</v>
      </c>
      <c r="U24" s="1">
        <v>3407</v>
      </c>
    </row>
    <row r="25" spans="1:21" x14ac:dyDescent="0.2">
      <c r="A25" s="26" t="s">
        <v>1</v>
      </c>
      <c r="B25" s="12"/>
      <c r="C25" s="12"/>
      <c r="D25" s="12"/>
      <c r="E25" s="1"/>
      <c r="F25" s="1">
        <v>3960</v>
      </c>
      <c r="G25" s="1">
        <v>4129</v>
      </c>
      <c r="H25" s="2">
        <v>3734</v>
      </c>
      <c r="I25" s="2">
        <v>5588</v>
      </c>
      <c r="J25" s="2">
        <v>4389</v>
      </c>
      <c r="K25" s="2">
        <v>3955</v>
      </c>
      <c r="L25" s="102">
        <v>2909</v>
      </c>
      <c r="M25" s="117">
        <v>1757</v>
      </c>
      <c r="N25" s="117">
        <v>3633</v>
      </c>
      <c r="O25" s="117">
        <v>4446</v>
      </c>
      <c r="P25" s="117">
        <v>4842</v>
      </c>
      <c r="Q25" s="117">
        <v>3256</v>
      </c>
      <c r="R25" s="1">
        <v>2815</v>
      </c>
      <c r="S25" s="1">
        <v>3422</v>
      </c>
      <c r="T25" s="1">
        <v>5551</v>
      </c>
      <c r="U25" s="1">
        <v>4013</v>
      </c>
    </row>
    <row r="26" spans="1:21" x14ac:dyDescent="0.2">
      <c r="A26" s="26" t="s">
        <v>2</v>
      </c>
      <c r="B26" s="12"/>
      <c r="C26" s="12"/>
      <c r="D26" s="12"/>
      <c r="E26" s="1"/>
      <c r="F26" s="1">
        <v>5410</v>
      </c>
      <c r="G26" s="1">
        <v>4672</v>
      </c>
      <c r="H26" s="2">
        <v>4235</v>
      </c>
      <c r="I26" s="2">
        <v>3421</v>
      </c>
      <c r="J26" s="2">
        <v>1685</v>
      </c>
      <c r="K26" s="2">
        <v>1799</v>
      </c>
      <c r="L26" s="102">
        <v>16375</v>
      </c>
      <c r="M26" s="117">
        <v>2824</v>
      </c>
      <c r="N26" s="117">
        <v>4020</v>
      </c>
      <c r="O26" s="117">
        <v>7591</v>
      </c>
      <c r="P26" s="117">
        <v>3532</v>
      </c>
      <c r="Q26" s="117">
        <v>2106</v>
      </c>
      <c r="R26" s="1">
        <v>5756</v>
      </c>
      <c r="S26" s="1">
        <v>3461</v>
      </c>
      <c r="T26" s="1">
        <v>5493</v>
      </c>
      <c r="U26" s="1">
        <v>1885</v>
      </c>
    </row>
    <row r="27" spans="1:21" x14ac:dyDescent="0.2">
      <c r="A27" s="26" t="s">
        <v>3</v>
      </c>
      <c r="B27" s="12"/>
      <c r="C27" s="12"/>
      <c r="D27" s="12"/>
      <c r="E27" s="1">
        <v>0</v>
      </c>
      <c r="F27" s="1">
        <v>2883.41</v>
      </c>
      <c r="G27" s="1">
        <v>4166</v>
      </c>
      <c r="H27" s="2">
        <v>3587</v>
      </c>
      <c r="I27" s="2">
        <v>3603</v>
      </c>
      <c r="J27" s="2">
        <v>2309</v>
      </c>
      <c r="K27" s="2">
        <v>5027</v>
      </c>
      <c r="L27" s="102">
        <v>2741</v>
      </c>
      <c r="M27" s="117">
        <v>3764</v>
      </c>
      <c r="N27" s="117">
        <v>4503</v>
      </c>
      <c r="O27" s="117">
        <v>10761</v>
      </c>
      <c r="P27" s="117">
        <v>5148</v>
      </c>
      <c r="Q27" s="117">
        <v>3548</v>
      </c>
      <c r="R27" s="117">
        <v>3866</v>
      </c>
      <c r="S27" s="1">
        <v>2826</v>
      </c>
      <c r="T27" s="1">
        <v>5198</v>
      </c>
      <c r="U27" s="1">
        <v>11572</v>
      </c>
    </row>
    <row r="28" spans="1:21" x14ac:dyDescent="0.2">
      <c r="A28" s="26" t="s">
        <v>4</v>
      </c>
      <c r="B28" s="12"/>
      <c r="C28" s="12"/>
      <c r="D28" s="12"/>
      <c r="E28" s="1">
        <v>1030</v>
      </c>
      <c r="F28" s="1">
        <v>7128.28</v>
      </c>
      <c r="G28" s="1">
        <v>3916</v>
      </c>
      <c r="H28" s="2">
        <v>3884</v>
      </c>
      <c r="I28" s="2">
        <v>6210</v>
      </c>
      <c r="J28" s="2">
        <v>2163</v>
      </c>
      <c r="K28" s="2">
        <v>2168</v>
      </c>
      <c r="L28" s="102">
        <v>3552</v>
      </c>
      <c r="M28" s="117">
        <v>3412</v>
      </c>
      <c r="N28" s="117">
        <v>4455</v>
      </c>
      <c r="O28" s="117">
        <v>8560</v>
      </c>
      <c r="P28" s="117">
        <v>4908</v>
      </c>
      <c r="Q28" s="117">
        <v>3127</v>
      </c>
      <c r="R28" s="1">
        <v>4865</v>
      </c>
      <c r="S28" s="1">
        <v>3997</v>
      </c>
      <c r="T28" s="1">
        <v>4107</v>
      </c>
      <c r="U28" s="1">
        <v>3308</v>
      </c>
    </row>
    <row r="29" spans="1:21" x14ac:dyDescent="0.2">
      <c r="A29" s="26" t="s">
        <v>5</v>
      </c>
      <c r="B29" s="12"/>
      <c r="C29" s="12"/>
      <c r="D29" s="12"/>
      <c r="E29" s="1">
        <v>2135</v>
      </c>
      <c r="F29" s="1">
        <v>4823.4799999999996</v>
      </c>
      <c r="G29" s="1">
        <v>3728</v>
      </c>
      <c r="H29" s="2">
        <v>3766</v>
      </c>
      <c r="I29" s="2">
        <v>3213</v>
      </c>
      <c r="J29" s="2">
        <v>3015</v>
      </c>
      <c r="K29" s="2">
        <v>4792</v>
      </c>
      <c r="L29" s="102">
        <v>2982</v>
      </c>
      <c r="M29" s="117">
        <v>2049</v>
      </c>
      <c r="N29" s="117">
        <v>4598</v>
      </c>
      <c r="O29" s="117">
        <v>5145</v>
      </c>
      <c r="P29" s="117">
        <v>5241</v>
      </c>
      <c r="Q29" s="117">
        <v>30659</v>
      </c>
      <c r="R29" s="1">
        <v>3178</v>
      </c>
      <c r="S29" s="1">
        <v>5476</v>
      </c>
      <c r="T29" s="1">
        <v>2760</v>
      </c>
      <c r="U29" s="1">
        <v>4477</v>
      </c>
    </row>
    <row r="30" spans="1:21" x14ac:dyDescent="0.2">
      <c r="A30" s="26" t="s">
        <v>6</v>
      </c>
      <c r="B30" s="12"/>
      <c r="C30" s="12"/>
      <c r="D30" s="12"/>
      <c r="E30" s="1">
        <v>3047</v>
      </c>
      <c r="F30" s="1">
        <v>3898</v>
      </c>
      <c r="G30" s="1">
        <v>2963</v>
      </c>
      <c r="H30" s="2">
        <v>4022</v>
      </c>
      <c r="I30" s="2">
        <v>2314</v>
      </c>
      <c r="J30" s="2">
        <v>3765</v>
      </c>
      <c r="K30" s="2">
        <v>3489</v>
      </c>
      <c r="L30" s="102">
        <v>3994</v>
      </c>
      <c r="M30" s="117">
        <v>3537</v>
      </c>
      <c r="N30" s="117">
        <v>5360</v>
      </c>
      <c r="O30" s="117">
        <v>7388</v>
      </c>
      <c r="P30" s="117">
        <v>6010</v>
      </c>
      <c r="Q30" s="117">
        <v>3949</v>
      </c>
      <c r="R30" s="1">
        <v>5444</v>
      </c>
      <c r="S30" s="1">
        <v>5760</v>
      </c>
      <c r="T30" s="1">
        <v>6356</v>
      </c>
      <c r="U30" s="1">
        <v>7479</v>
      </c>
    </row>
    <row r="31" spans="1:21" x14ac:dyDescent="0.2">
      <c r="A31" s="26" t="s">
        <v>7</v>
      </c>
      <c r="B31" s="12"/>
      <c r="C31" s="12"/>
      <c r="D31" s="12"/>
      <c r="E31" s="1">
        <v>3368</v>
      </c>
      <c r="F31" s="1">
        <v>4440.9799999999996</v>
      </c>
      <c r="G31" s="1">
        <v>6905</v>
      </c>
      <c r="H31" s="2">
        <v>6351</v>
      </c>
      <c r="I31" s="2">
        <v>2097</v>
      </c>
      <c r="J31" s="2">
        <v>2285</v>
      </c>
      <c r="K31" s="2">
        <v>5521</v>
      </c>
      <c r="L31" s="102">
        <v>4816</v>
      </c>
      <c r="M31" s="117">
        <v>3869</v>
      </c>
      <c r="N31" s="117">
        <v>4778</v>
      </c>
      <c r="O31" s="117">
        <v>6638</v>
      </c>
      <c r="P31" s="117">
        <v>2896</v>
      </c>
      <c r="Q31" s="117">
        <v>4159</v>
      </c>
      <c r="R31" s="1">
        <v>3480</v>
      </c>
      <c r="S31" s="1">
        <v>5060</v>
      </c>
      <c r="T31" s="1">
        <v>3640</v>
      </c>
      <c r="U31" s="1">
        <v>7016</v>
      </c>
    </row>
    <row r="32" spans="1:21" x14ac:dyDescent="0.2">
      <c r="A32" s="26" t="s">
        <v>8</v>
      </c>
      <c r="B32" s="12"/>
      <c r="C32" s="12"/>
      <c r="D32" s="12"/>
      <c r="E32" s="1">
        <v>5254.26</v>
      </c>
      <c r="F32" s="1">
        <v>3565.8</v>
      </c>
      <c r="G32" s="1">
        <v>3645</v>
      </c>
      <c r="H32" s="2">
        <v>4099</v>
      </c>
      <c r="I32" s="2">
        <v>3747</v>
      </c>
      <c r="J32" s="2">
        <v>2662</v>
      </c>
      <c r="K32" s="2">
        <v>5729</v>
      </c>
      <c r="L32" s="102">
        <v>1982</v>
      </c>
      <c r="M32" s="117">
        <v>6374</v>
      </c>
      <c r="N32" s="117">
        <v>5803</v>
      </c>
      <c r="O32" s="117">
        <v>5593</v>
      </c>
      <c r="P32" s="117">
        <v>4007</v>
      </c>
      <c r="Q32" s="117">
        <v>3248</v>
      </c>
      <c r="R32" s="2">
        <v>-13215</v>
      </c>
      <c r="S32" s="1">
        <v>7744</v>
      </c>
      <c r="T32" s="1">
        <v>6399</v>
      </c>
      <c r="U32" s="1">
        <v>4371</v>
      </c>
    </row>
    <row r="33" spans="1:21" x14ac:dyDescent="0.2">
      <c r="A33" s="26" t="s">
        <v>9</v>
      </c>
      <c r="B33" s="12"/>
      <c r="C33" s="12"/>
      <c r="D33" s="12"/>
      <c r="E33" s="1">
        <v>3995</v>
      </c>
      <c r="F33" s="1">
        <f>4732.58+26</f>
        <v>4758.58</v>
      </c>
      <c r="G33" s="1">
        <v>7678</v>
      </c>
      <c r="H33" s="2">
        <v>3603</v>
      </c>
      <c r="I33" s="2">
        <v>2810</v>
      </c>
      <c r="J33" s="2">
        <v>8559</v>
      </c>
      <c r="K33" s="2">
        <v>4966</v>
      </c>
      <c r="L33" s="102">
        <v>3497</v>
      </c>
      <c r="M33" s="117">
        <v>3403</v>
      </c>
      <c r="N33" s="117">
        <v>7089</v>
      </c>
      <c r="O33" s="117">
        <v>4994</v>
      </c>
      <c r="P33" s="117">
        <v>4015</v>
      </c>
      <c r="Q33" s="117">
        <v>4205</v>
      </c>
      <c r="R33" s="1">
        <v>4658</v>
      </c>
      <c r="S33" s="1">
        <v>8737</v>
      </c>
      <c r="T33" s="1">
        <v>5181</v>
      </c>
      <c r="U33" s="1">
        <v>4201</v>
      </c>
    </row>
    <row r="34" spans="1:21" x14ac:dyDescent="0.2">
      <c r="A34" s="26" t="s">
        <v>10</v>
      </c>
      <c r="B34" s="12"/>
      <c r="C34" s="12"/>
      <c r="D34" s="12"/>
      <c r="E34" s="1">
        <v>7840</v>
      </c>
      <c r="F34" s="1"/>
      <c r="G34" s="1">
        <v>3002</v>
      </c>
      <c r="H34" s="2">
        <v>5348</v>
      </c>
      <c r="I34" s="2">
        <v>4272</v>
      </c>
      <c r="J34" s="2">
        <v>3169</v>
      </c>
      <c r="K34" s="2">
        <v>6209</v>
      </c>
      <c r="L34" s="102">
        <v>4889</v>
      </c>
      <c r="M34" s="117">
        <v>3547</v>
      </c>
      <c r="N34" s="117">
        <v>6135</v>
      </c>
      <c r="O34" s="117">
        <v>5040</v>
      </c>
      <c r="P34" s="117">
        <v>4811</v>
      </c>
      <c r="Q34" s="117">
        <v>3640</v>
      </c>
      <c r="R34" s="1">
        <v>3283</v>
      </c>
      <c r="S34" s="1">
        <v>13449</v>
      </c>
      <c r="T34" s="1">
        <v>3737</v>
      </c>
      <c r="U34" s="1">
        <v>8273</v>
      </c>
    </row>
    <row r="35" spans="1:21" ht="12.75" customHeight="1" x14ac:dyDescent="0.2">
      <c r="A35" s="26" t="s">
        <v>11</v>
      </c>
      <c r="B35" s="13"/>
      <c r="C35" s="23"/>
      <c r="D35" s="23"/>
      <c r="E35" s="39">
        <v>14390</v>
      </c>
      <c r="F35" s="39">
        <v>5826</v>
      </c>
      <c r="G35" s="39">
        <v>2926</v>
      </c>
      <c r="H35" s="40">
        <v>3457</v>
      </c>
      <c r="I35" s="40">
        <v>4311</v>
      </c>
      <c r="J35" s="40">
        <v>3249</v>
      </c>
      <c r="K35" s="40">
        <v>3655</v>
      </c>
      <c r="L35" s="95">
        <v>3837</v>
      </c>
      <c r="M35" s="95">
        <v>2757</v>
      </c>
      <c r="N35" s="95">
        <v>4729</v>
      </c>
      <c r="O35" s="95">
        <v>18371</v>
      </c>
      <c r="P35" s="95">
        <v>2676</v>
      </c>
      <c r="Q35" s="95">
        <v>3472</v>
      </c>
      <c r="R35" s="1">
        <v>3460</v>
      </c>
      <c r="S35" s="1">
        <v>7382</v>
      </c>
      <c r="T35" s="1">
        <v>2452</v>
      </c>
      <c r="U35" s="1">
        <v>3925</v>
      </c>
    </row>
    <row r="36" spans="1:21" x14ac:dyDescent="0.2">
      <c r="A36" s="25"/>
      <c r="B36" s="14"/>
      <c r="C36" s="14"/>
      <c r="D36" s="44"/>
      <c r="E36" s="41">
        <f t="shared" ref="E36:J36" si="5">SUM(E24:E35)</f>
        <v>41059.26</v>
      </c>
      <c r="F36" s="41">
        <f t="shared" si="5"/>
        <v>52256.53</v>
      </c>
      <c r="G36" s="41">
        <f t="shared" si="5"/>
        <v>58405</v>
      </c>
      <c r="H36" s="41">
        <f t="shared" si="5"/>
        <v>51183</v>
      </c>
      <c r="I36" s="44">
        <f t="shared" si="5"/>
        <v>20489</v>
      </c>
      <c r="J36" s="44">
        <f t="shared" si="5"/>
        <v>46088</v>
      </c>
      <c r="K36" s="44">
        <f t="shared" ref="K36:P36" si="6">SUM(K24:K35)</f>
        <v>51933</v>
      </c>
      <c r="L36" s="96">
        <f t="shared" si="6"/>
        <v>56417</v>
      </c>
      <c r="M36" s="96">
        <f t="shared" si="6"/>
        <v>43160</v>
      </c>
      <c r="N36" s="96">
        <f t="shared" si="6"/>
        <v>59712</v>
      </c>
      <c r="O36" s="96">
        <f t="shared" si="6"/>
        <v>92014</v>
      </c>
      <c r="P36" s="96">
        <f t="shared" si="6"/>
        <v>55405</v>
      </c>
      <c r="Q36" s="96">
        <f t="shared" ref="Q36:T36" si="7">SUM(Q24:Q35)</f>
        <v>72312</v>
      </c>
      <c r="R36" s="126">
        <f t="shared" ref="R36" si="8">SUM(R24:R35)</f>
        <v>32963</v>
      </c>
      <c r="S36" s="126">
        <f t="shared" si="7"/>
        <v>73812</v>
      </c>
      <c r="T36" s="126">
        <f t="shared" si="7"/>
        <v>56974</v>
      </c>
      <c r="U36" s="126">
        <f t="shared" ref="U36" si="9">SUM(U24:U35)</f>
        <v>63927</v>
      </c>
    </row>
    <row r="37" spans="1:21" x14ac:dyDescent="0.2">
      <c r="G37" s="7"/>
      <c r="H37" s="2"/>
      <c r="L37" s="94"/>
    </row>
    <row r="38" spans="1:21" x14ac:dyDescent="0.2">
      <c r="G38" s="7"/>
      <c r="H38" s="2"/>
    </row>
    <row r="39" spans="1:21" x14ac:dyDescent="0.2">
      <c r="A39" s="29" t="s">
        <v>261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-105</v>
      </c>
      <c r="J42" s="2">
        <v>-543</v>
      </c>
      <c r="K42" s="2">
        <v>-5</v>
      </c>
      <c r="L42" s="2">
        <v>-1204</v>
      </c>
      <c r="M42" s="2">
        <v>-131</v>
      </c>
      <c r="N42" s="2">
        <v>-791</v>
      </c>
      <c r="O42" s="117">
        <v>-7</v>
      </c>
      <c r="P42" s="117">
        <v>-655</v>
      </c>
      <c r="Q42" s="117">
        <v>-50</v>
      </c>
      <c r="R42" s="1">
        <v>-21</v>
      </c>
      <c r="S42" s="117">
        <v>-4</v>
      </c>
      <c r="T42" s="1">
        <v>-6</v>
      </c>
      <c r="U42" s="117">
        <v>-5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-837</v>
      </c>
      <c r="I43" s="2">
        <v>-1593</v>
      </c>
      <c r="J43" s="2">
        <v>-3754</v>
      </c>
      <c r="K43" s="2">
        <v>0</v>
      </c>
      <c r="L43" s="2">
        <v>-1073</v>
      </c>
      <c r="M43" s="2">
        <v>-113</v>
      </c>
      <c r="N43" s="2">
        <v>-359</v>
      </c>
      <c r="O43" s="117">
        <v>0</v>
      </c>
      <c r="P43" s="117">
        <v>-118</v>
      </c>
      <c r="Q43" s="117">
        <v>-1</v>
      </c>
      <c r="R43" s="1">
        <v>-2491</v>
      </c>
      <c r="S43" s="117">
        <v>-62</v>
      </c>
      <c r="T43" s="1">
        <v>-15</v>
      </c>
      <c r="U43" s="117">
        <v>-291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-1955</v>
      </c>
      <c r="H44" s="2">
        <v>-253</v>
      </c>
      <c r="I44" s="2">
        <v>-86</v>
      </c>
      <c r="J44" s="2">
        <v>-1426</v>
      </c>
      <c r="K44" s="2">
        <v>-46</v>
      </c>
      <c r="L44" s="2">
        <v>-1</v>
      </c>
      <c r="M44" s="2">
        <v>-91</v>
      </c>
      <c r="N44" s="2">
        <v>40</v>
      </c>
      <c r="O44" s="117">
        <v>-58</v>
      </c>
      <c r="P44" s="117">
        <v>-1</v>
      </c>
      <c r="Q44" s="117">
        <v>0</v>
      </c>
      <c r="R44" s="1">
        <v>-3</v>
      </c>
      <c r="S44" s="117">
        <v>-16</v>
      </c>
      <c r="T44" s="1">
        <v>-40</v>
      </c>
      <c r="U44" s="117">
        <v>-105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-1365</v>
      </c>
      <c r="H45" s="2">
        <v>-3</v>
      </c>
      <c r="I45" s="2">
        <v>-1</v>
      </c>
      <c r="J45" s="2">
        <v>-77</v>
      </c>
      <c r="K45" s="2">
        <v>-178</v>
      </c>
      <c r="L45" s="2">
        <v>-52</v>
      </c>
      <c r="M45" s="2">
        <v>-30</v>
      </c>
      <c r="N45" s="2">
        <v>-117</v>
      </c>
      <c r="O45" s="117">
        <v>-879</v>
      </c>
      <c r="P45" s="117">
        <v>-8</v>
      </c>
      <c r="Q45" s="117">
        <v>-40</v>
      </c>
      <c r="R45" s="117">
        <v>0</v>
      </c>
      <c r="S45" s="117">
        <v>-24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-11</v>
      </c>
      <c r="I46" s="2">
        <v>0</v>
      </c>
      <c r="J46" s="2">
        <v>-312</v>
      </c>
      <c r="K46" s="2">
        <v>0</v>
      </c>
      <c r="L46" s="2">
        <v>-11</v>
      </c>
      <c r="M46" s="2">
        <v>-33</v>
      </c>
      <c r="N46" s="2">
        <v>0</v>
      </c>
      <c r="O46" s="117">
        <v>-2308</v>
      </c>
      <c r="P46" s="117">
        <v>-588</v>
      </c>
      <c r="Q46" s="117">
        <v>0</v>
      </c>
      <c r="R46" s="1">
        <v>-2566</v>
      </c>
      <c r="S46" s="117">
        <v>0</v>
      </c>
      <c r="T46" s="1">
        <v>-1185</v>
      </c>
      <c r="U46" s="117">
        <v>-143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-1</v>
      </c>
      <c r="H47" s="2">
        <v>-588</v>
      </c>
      <c r="I47" s="2">
        <v>-3807</v>
      </c>
      <c r="J47" s="2">
        <v>-1</v>
      </c>
      <c r="K47" s="2">
        <v>0</v>
      </c>
      <c r="L47" s="2">
        <v>0</v>
      </c>
      <c r="M47" s="2">
        <v>-823</v>
      </c>
      <c r="N47" s="2">
        <v>-1562</v>
      </c>
      <c r="O47" s="117">
        <v>-813</v>
      </c>
      <c r="P47" s="117">
        <v>-58</v>
      </c>
      <c r="Q47" s="117">
        <v>-1</v>
      </c>
      <c r="R47" s="117">
        <v>0</v>
      </c>
      <c r="S47" s="117">
        <v>0</v>
      </c>
      <c r="T47" s="1">
        <v>-29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-116</v>
      </c>
      <c r="H48" s="2">
        <v>0</v>
      </c>
      <c r="I48" s="2">
        <v>-668</v>
      </c>
      <c r="J48" s="2">
        <v>-3393</v>
      </c>
      <c r="K48" s="2">
        <v>0</v>
      </c>
      <c r="L48" s="2">
        <v>-78</v>
      </c>
      <c r="M48" s="2">
        <v>-2452</v>
      </c>
      <c r="N48" s="2">
        <v>-9130</v>
      </c>
      <c r="O48" s="117">
        <v>0</v>
      </c>
      <c r="P48" s="117">
        <v>0</v>
      </c>
      <c r="Q48" s="117">
        <v>-32</v>
      </c>
      <c r="R48" s="117">
        <v>0</v>
      </c>
      <c r="S48" s="117">
        <v>-776</v>
      </c>
      <c r="T48" s="1">
        <v>-85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-8</v>
      </c>
      <c r="H49" s="2">
        <v>-14</v>
      </c>
      <c r="I49" s="2">
        <v>-3</v>
      </c>
      <c r="J49" s="2">
        <v>-413</v>
      </c>
      <c r="K49" s="2">
        <v>-5537</v>
      </c>
      <c r="L49" s="2">
        <v>-1374</v>
      </c>
      <c r="M49" s="2">
        <v>-104</v>
      </c>
      <c r="N49" s="2">
        <v>-132</v>
      </c>
      <c r="O49" s="117">
        <v>0</v>
      </c>
      <c r="P49" s="117">
        <v>0</v>
      </c>
      <c r="Q49" s="117">
        <v>0</v>
      </c>
      <c r="R49" s="117">
        <v>0</v>
      </c>
      <c r="S49" s="117">
        <v>-7</v>
      </c>
      <c r="T49" s="1">
        <v>-13</v>
      </c>
      <c r="U49" s="117">
        <v>-1298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-530</v>
      </c>
      <c r="H50" s="2">
        <v>-40</v>
      </c>
      <c r="I50" s="2">
        <v>-258</v>
      </c>
      <c r="J50" s="2">
        <v>0</v>
      </c>
      <c r="K50" s="2">
        <v>-343</v>
      </c>
      <c r="L50" s="2">
        <v>0</v>
      </c>
      <c r="M50" s="2">
        <v>-1212</v>
      </c>
      <c r="N50" s="2">
        <v>0</v>
      </c>
      <c r="O50" s="117">
        <v>0</v>
      </c>
      <c r="P50" s="117">
        <v>-29</v>
      </c>
      <c r="Q50" s="117">
        <v>0</v>
      </c>
      <c r="R50" s="117">
        <v>-98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-6</v>
      </c>
      <c r="H51" s="2">
        <v>0</v>
      </c>
      <c r="I51" s="2">
        <v>-39</v>
      </c>
      <c r="J51" s="2">
        <v>-32</v>
      </c>
      <c r="K51" s="2">
        <v>-9584</v>
      </c>
      <c r="L51" s="2">
        <v>-4</v>
      </c>
      <c r="M51" s="2">
        <v>-1</v>
      </c>
      <c r="N51" s="2">
        <v>-700</v>
      </c>
      <c r="O51" s="117">
        <v>-12</v>
      </c>
      <c r="P51" s="117">
        <v>-80</v>
      </c>
      <c r="Q51" s="117">
        <v>0</v>
      </c>
      <c r="R51" s="117">
        <v>-24</v>
      </c>
      <c r="S51" s="117">
        <v>-4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-1264</v>
      </c>
      <c r="H52" s="2">
        <v>-20196</v>
      </c>
      <c r="I52" s="2">
        <v>-43</v>
      </c>
      <c r="J52" s="2">
        <v>0</v>
      </c>
      <c r="K52" s="2">
        <v>0</v>
      </c>
      <c r="L52" s="2">
        <v>-5207</v>
      </c>
      <c r="M52" s="2">
        <v>-441</v>
      </c>
      <c r="N52" s="2">
        <v>0</v>
      </c>
      <c r="O52" s="117">
        <v>0</v>
      </c>
      <c r="P52" s="117">
        <v>-134</v>
      </c>
      <c r="Q52" s="117">
        <v>-3</v>
      </c>
      <c r="R52" s="117">
        <v>0</v>
      </c>
      <c r="S52" s="117">
        <v>-722</v>
      </c>
      <c r="T52" s="1">
        <v>-430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-5</v>
      </c>
      <c r="G53" s="40">
        <v>-14</v>
      </c>
      <c r="H53" s="40">
        <v>-163</v>
      </c>
      <c r="I53" s="40">
        <v>-859</v>
      </c>
      <c r="J53" s="40">
        <v>-109</v>
      </c>
      <c r="K53" s="40">
        <v>-441</v>
      </c>
      <c r="L53" s="40">
        <v>-1495</v>
      </c>
      <c r="M53" s="40">
        <v>-423</v>
      </c>
      <c r="N53" s="40">
        <v>-1933</v>
      </c>
      <c r="O53" s="40">
        <v>-17</v>
      </c>
      <c r="P53" s="40">
        <v>-165</v>
      </c>
      <c r="Q53" s="40">
        <v>0</v>
      </c>
      <c r="R53" s="40">
        <v>-521</v>
      </c>
      <c r="S53" s="183">
        <v>0</v>
      </c>
      <c r="T53" s="1">
        <v>-414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-5</v>
      </c>
      <c r="G54" s="126">
        <f t="shared" si="10"/>
        <v>-5259</v>
      </c>
      <c r="H54" s="126">
        <f t="shared" si="10"/>
        <v>-22105</v>
      </c>
      <c r="I54" s="126">
        <f t="shared" si="10"/>
        <v>-7462</v>
      </c>
      <c r="J54" s="126">
        <f t="shared" si="10"/>
        <v>-10060</v>
      </c>
      <c r="K54" s="126">
        <f t="shared" si="10"/>
        <v>-16134</v>
      </c>
      <c r="L54" s="126">
        <f t="shared" si="10"/>
        <v>-10499</v>
      </c>
      <c r="M54" s="126">
        <f t="shared" si="10"/>
        <v>-5854</v>
      </c>
      <c r="N54" s="126">
        <f t="shared" si="10"/>
        <v>-14684</v>
      </c>
      <c r="O54" s="96">
        <f>SUM(O42:O53)</f>
        <v>-4094</v>
      </c>
      <c r="P54" s="96">
        <f>SUM(P42:P53)</f>
        <v>-1836</v>
      </c>
      <c r="Q54" s="96">
        <f>SUM(Q42:Q53)</f>
        <v>-127</v>
      </c>
      <c r="R54" s="126">
        <f t="shared" ref="R54" si="11">SUM(R42:R53)</f>
        <v>-5724</v>
      </c>
      <c r="S54" s="126">
        <f>SUM(S42:S53)</f>
        <v>-1615</v>
      </c>
      <c r="T54" s="126">
        <f t="shared" ref="T54" si="12">SUM(T42:T53)</f>
        <v>-2217</v>
      </c>
      <c r="U54" s="126">
        <f>SUM(U42:U53)</f>
        <v>-1842</v>
      </c>
    </row>
  </sheetData>
  <phoneticPr fontId="6" type="noConversion"/>
  <pageMargins left="0.75" right="0.75" top="1" bottom="1" header="0.5" footer="0.5"/>
  <pageSetup scale="9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2:U54"/>
  <sheetViews>
    <sheetView workbookViewId="0">
      <pane xSplit="1" topLeftCell="P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6" width="10.7109375" bestFit="1" customWidth="1"/>
    <col min="7" max="9" width="10.140625" bestFit="1" customWidth="1"/>
    <col min="10" max="11" width="8.7109375" bestFit="1" customWidth="1"/>
    <col min="12" max="12" width="8.140625" bestFit="1" customWidth="1"/>
    <col min="13" max="14" width="7.7109375" bestFit="1" customWidth="1"/>
    <col min="15" max="15" width="10.7109375" bestFit="1" customWidth="1"/>
    <col min="16" max="16" width="8.140625" customWidth="1"/>
    <col min="18" max="18" width="9.28515625" customWidth="1"/>
    <col min="21" max="21" width="10.7109375" customWidth="1"/>
  </cols>
  <sheetData>
    <row r="2" spans="1:21" x14ac:dyDescent="0.2">
      <c r="A2" s="24" t="s">
        <v>68</v>
      </c>
      <c r="B2" s="148">
        <v>5.0000000000000001E-3</v>
      </c>
      <c r="D2" s="94" t="s">
        <v>199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>
        <v>0</v>
      </c>
      <c r="E5" s="12">
        <v>0</v>
      </c>
      <c r="F5" s="1">
        <v>179312.06</v>
      </c>
      <c r="G5" s="1">
        <v>188541</v>
      </c>
      <c r="H5" s="2">
        <v>178813</v>
      </c>
      <c r="I5" s="2">
        <v>187857</v>
      </c>
      <c r="J5" s="2">
        <v>4739</v>
      </c>
      <c r="K5" s="2">
        <v>2380</v>
      </c>
      <c r="L5" s="102">
        <v>786</v>
      </c>
      <c r="M5" s="117">
        <v>1853</v>
      </c>
      <c r="N5" s="117">
        <v>0</v>
      </c>
      <c r="O5" s="117">
        <v>0</v>
      </c>
      <c r="P5" s="117">
        <v>0</v>
      </c>
      <c r="Q5" s="117">
        <v>6</v>
      </c>
      <c r="R5" s="117">
        <v>0</v>
      </c>
      <c r="S5" s="117">
        <v>0</v>
      </c>
      <c r="T5" s="1">
        <v>0</v>
      </c>
      <c r="U5" s="117">
        <v>0</v>
      </c>
    </row>
    <row r="6" spans="1:21" x14ac:dyDescent="0.2">
      <c r="A6" s="26" t="s">
        <v>1</v>
      </c>
      <c r="B6" s="22"/>
      <c r="C6" s="22"/>
      <c r="D6" s="12">
        <v>0</v>
      </c>
      <c r="E6" s="12">
        <v>0</v>
      </c>
      <c r="F6" s="2">
        <v>123058.92</v>
      </c>
      <c r="G6" s="1">
        <v>149031</v>
      </c>
      <c r="H6" s="2">
        <v>123911</v>
      </c>
      <c r="I6" s="2">
        <v>129730</v>
      </c>
      <c r="J6" s="2">
        <v>-2818</v>
      </c>
      <c r="K6" s="2">
        <v>146</v>
      </c>
      <c r="L6" s="102">
        <v>10</v>
      </c>
      <c r="M6" s="117">
        <v>9</v>
      </c>
      <c r="N6" s="117">
        <v>-3350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">
        <v>0</v>
      </c>
      <c r="U6" s="117">
        <v>0</v>
      </c>
    </row>
    <row r="7" spans="1:21" x14ac:dyDescent="0.2">
      <c r="A7" s="26" t="s">
        <v>2</v>
      </c>
      <c r="B7" s="22"/>
      <c r="C7" s="22"/>
      <c r="D7" s="12">
        <v>0</v>
      </c>
      <c r="E7" s="12">
        <v>0</v>
      </c>
      <c r="F7" s="2">
        <v>126163.28</v>
      </c>
      <c r="G7" s="1">
        <v>128807</v>
      </c>
      <c r="H7" s="2">
        <v>117667</v>
      </c>
      <c r="I7" s="2">
        <v>124719</v>
      </c>
      <c r="J7" s="2">
        <v>-1042</v>
      </c>
      <c r="K7" s="2">
        <v>459</v>
      </c>
      <c r="L7" s="106">
        <v>7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">
        <v>0</v>
      </c>
      <c r="U7" s="117">
        <v>0</v>
      </c>
    </row>
    <row r="8" spans="1:21" x14ac:dyDescent="0.2">
      <c r="A8" s="26" t="s">
        <v>3</v>
      </c>
      <c r="B8" s="22"/>
      <c r="C8" s="22"/>
      <c r="D8" s="12">
        <v>0</v>
      </c>
      <c r="E8" s="2">
        <v>214</v>
      </c>
      <c r="F8" s="2">
        <v>140904.06</v>
      </c>
      <c r="G8" s="1">
        <v>136666</v>
      </c>
      <c r="H8" s="2">
        <v>133319</v>
      </c>
      <c r="I8" s="2">
        <v>147009</v>
      </c>
      <c r="J8" s="2">
        <v>432</v>
      </c>
      <c r="K8" s="2">
        <v>1</v>
      </c>
      <c r="L8" s="106">
        <v>36</v>
      </c>
      <c r="M8" s="117">
        <v>-72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">
        <v>0</v>
      </c>
      <c r="U8" s="117">
        <v>0</v>
      </c>
    </row>
    <row r="9" spans="1:21" x14ac:dyDescent="0.2">
      <c r="A9" s="26" t="s">
        <v>4</v>
      </c>
      <c r="B9" s="22"/>
      <c r="C9" s="22"/>
      <c r="D9" s="12">
        <v>0</v>
      </c>
      <c r="E9" s="2">
        <f>120387+295</f>
        <v>120682</v>
      </c>
      <c r="F9" s="2">
        <f>143935.35-214</f>
        <v>143721.35</v>
      </c>
      <c r="G9" s="1">
        <v>139996</v>
      </c>
      <c r="H9" s="2">
        <v>136046</v>
      </c>
      <c r="I9" s="2">
        <v>153703</v>
      </c>
      <c r="J9" s="2">
        <v>1246</v>
      </c>
      <c r="K9" s="2">
        <v>3</v>
      </c>
      <c r="L9" s="106">
        <v>141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">
        <v>0</v>
      </c>
      <c r="U9" s="117">
        <v>0</v>
      </c>
    </row>
    <row r="10" spans="1:21" x14ac:dyDescent="0.2">
      <c r="A10" s="26" t="s">
        <v>5</v>
      </c>
      <c r="B10" s="22"/>
      <c r="C10" s="22"/>
      <c r="D10" s="12">
        <v>0</v>
      </c>
      <c r="E10" s="2">
        <v>150864</v>
      </c>
      <c r="F10" s="2">
        <v>168021.85</v>
      </c>
      <c r="G10" s="1">
        <v>290600</v>
      </c>
      <c r="H10" s="2">
        <v>146362</v>
      </c>
      <c r="I10" s="2">
        <v>157132</v>
      </c>
      <c r="J10" s="2">
        <v>4</v>
      </c>
      <c r="K10" s="2">
        <v>325</v>
      </c>
      <c r="L10" s="106">
        <v>0</v>
      </c>
      <c r="M10" s="143"/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">
        <v>0</v>
      </c>
      <c r="U10" s="143">
        <v>0</v>
      </c>
    </row>
    <row r="11" spans="1:21" x14ac:dyDescent="0.2">
      <c r="A11" s="26" t="s">
        <v>6</v>
      </c>
      <c r="B11" s="22"/>
      <c r="C11" s="22"/>
      <c r="D11" s="12">
        <v>0</v>
      </c>
      <c r="E11" s="2">
        <v>165548</v>
      </c>
      <c r="F11" s="2">
        <v>156055.82999999999</v>
      </c>
      <c r="G11" s="1">
        <v>137955</v>
      </c>
      <c r="H11" s="2">
        <v>149756</v>
      </c>
      <c r="I11" s="2">
        <v>150621</v>
      </c>
      <c r="J11" s="2">
        <v>1038</v>
      </c>
      <c r="K11" s="2">
        <v>38</v>
      </c>
      <c r="L11" s="106">
        <v>58</v>
      </c>
      <c r="M11" s="117"/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">
        <v>0</v>
      </c>
      <c r="U11" s="117">
        <v>0</v>
      </c>
    </row>
    <row r="12" spans="1:21" x14ac:dyDescent="0.2">
      <c r="A12" s="26" t="s">
        <v>7</v>
      </c>
      <c r="B12" s="22"/>
      <c r="C12" s="22"/>
      <c r="D12" s="12">
        <v>0</v>
      </c>
      <c r="E12" s="2">
        <v>150027.82999999999</v>
      </c>
      <c r="F12" s="2">
        <v>165207.09</v>
      </c>
      <c r="G12" s="1">
        <v>175635</v>
      </c>
      <c r="H12" s="2">
        <v>174349</v>
      </c>
      <c r="I12" s="2">
        <v>20837</v>
      </c>
      <c r="J12" s="2">
        <v>134</v>
      </c>
      <c r="K12" s="2">
        <v>536</v>
      </c>
      <c r="L12" s="106">
        <v>12189</v>
      </c>
      <c r="M12" s="117">
        <v>-1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">
        <v>0</v>
      </c>
      <c r="U12" s="117">
        <v>0</v>
      </c>
    </row>
    <row r="13" spans="1:21" x14ac:dyDescent="0.2">
      <c r="A13" s="26" t="s">
        <v>8</v>
      </c>
      <c r="B13" s="22"/>
      <c r="C13" s="22"/>
      <c r="D13" s="12">
        <v>0</v>
      </c>
      <c r="E13" s="2">
        <f>146955.78+990</f>
        <v>147945.78</v>
      </c>
      <c r="F13" s="2">
        <v>156574.66</v>
      </c>
      <c r="G13" s="1">
        <v>166226</v>
      </c>
      <c r="H13" s="2">
        <v>162218</v>
      </c>
      <c r="I13" s="2">
        <v>46875</v>
      </c>
      <c r="J13" s="2">
        <v>121</v>
      </c>
      <c r="K13" s="2">
        <v>1136</v>
      </c>
      <c r="L13" s="106">
        <v>71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">
        <v>0</v>
      </c>
      <c r="U13" s="117">
        <v>0</v>
      </c>
    </row>
    <row r="14" spans="1:21" x14ac:dyDescent="0.2">
      <c r="A14" s="26" t="s">
        <v>9</v>
      </c>
      <c r="B14" s="30"/>
      <c r="C14" s="22"/>
      <c r="D14" s="12">
        <v>0</v>
      </c>
      <c r="E14" s="2">
        <v>140609.98000000001</v>
      </c>
      <c r="F14" s="2">
        <f>165218.06+207.7+6.23</f>
        <v>165431.99000000002</v>
      </c>
      <c r="G14" s="1">
        <v>168620</v>
      </c>
      <c r="H14" s="2">
        <v>163430</v>
      </c>
      <c r="I14" s="2">
        <v>6650</v>
      </c>
      <c r="J14" s="2">
        <v>582</v>
      </c>
      <c r="K14" s="2">
        <v>205</v>
      </c>
      <c r="L14" s="106">
        <v>-2535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">
        <v>0</v>
      </c>
      <c r="U14" s="117">
        <v>0</v>
      </c>
    </row>
    <row r="15" spans="1:21" x14ac:dyDescent="0.2">
      <c r="A15" s="26" t="s">
        <v>10</v>
      </c>
      <c r="B15" s="22"/>
      <c r="C15" s="22"/>
      <c r="D15" s="12">
        <v>0</v>
      </c>
      <c r="E15" s="2">
        <v>142654</v>
      </c>
      <c r="F15" s="2"/>
      <c r="G15" s="1">
        <v>146007</v>
      </c>
      <c r="H15" s="2">
        <v>156273</v>
      </c>
      <c r="I15" s="2">
        <v>5484</v>
      </c>
      <c r="J15" s="2">
        <v>717</v>
      </c>
      <c r="K15" s="2">
        <v>113</v>
      </c>
      <c r="L15" s="106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">
        <v>0</v>
      </c>
      <c r="U15" s="117">
        <v>0</v>
      </c>
    </row>
    <row r="16" spans="1:21" x14ac:dyDescent="0.2">
      <c r="A16" s="26" t="s">
        <v>11</v>
      </c>
      <c r="B16" s="23"/>
      <c r="C16" s="23"/>
      <c r="D16" s="23">
        <v>0</v>
      </c>
      <c r="E16" s="37">
        <v>138713.01</v>
      </c>
      <c r="F16" s="37">
        <v>281118</v>
      </c>
      <c r="G16" s="39">
        <v>141975</v>
      </c>
      <c r="H16" s="40">
        <v>153350</v>
      </c>
      <c r="I16" s="40">
        <v>3731</v>
      </c>
      <c r="J16" s="40">
        <v>52</v>
      </c>
      <c r="K16" s="40">
        <v>273</v>
      </c>
      <c r="L16" s="95">
        <v>568</v>
      </c>
      <c r="M16" s="95">
        <v>1073</v>
      </c>
      <c r="N16" s="40">
        <v>0</v>
      </c>
      <c r="O16" s="40">
        <v>-337</v>
      </c>
      <c r="P16" s="40">
        <v>-45</v>
      </c>
      <c r="Q16" s="40">
        <v>0</v>
      </c>
      <c r="R16" s="40">
        <v>0</v>
      </c>
      <c r="S16" s="40">
        <v>0</v>
      </c>
      <c r="T16" s="1">
        <v>0</v>
      </c>
      <c r="U16" s="40">
        <v>0</v>
      </c>
    </row>
    <row r="17" spans="1:21" x14ac:dyDescent="0.2">
      <c r="A17" s="25"/>
      <c r="B17" s="14"/>
      <c r="C17" s="14"/>
      <c r="D17" s="44">
        <f t="shared" ref="D17:J17" si="0">SUM(D5:D16)</f>
        <v>0</v>
      </c>
      <c r="E17" s="41">
        <f t="shared" si="0"/>
        <v>1157258.6000000001</v>
      </c>
      <c r="F17" s="41">
        <f t="shared" si="0"/>
        <v>1805569.0899999999</v>
      </c>
      <c r="G17" s="44">
        <f t="shared" si="0"/>
        <v>1970059</v>
      </c>
      <c r="H17" s="44">
        <f t="shared" si="0"/>
        <v>1795494</v>
      </c>
      <c r="I17" s="44">
        <f t="shared" si="0"/>
        <v>1134348</v>
      </c>
      <c r="J17" s="44">
        <f t="shared" si="0"/>
        <v>5205</v>
      </c>
      <c r="K17" s="44">
        <f t="shared" ref="K17:P17" si="1">SUM(K5:K16)</f>
        <v>5615</v>
      </c>
      <c r="L17" s="96">
        <f t="shared" si="1"/>
        <v>11331</v>
      </c>
      <c r="M17" s="96">
        <f t="shared" si="1"/>
        <v>2862</v>
      </c>
      <c r="N17" s="96">
        <f t="shared" si="1"/>
        <v>-3350</v>
      </c>
      <c r="O17" s="96">
        <f t="shared" si="1"/>
        <v>-337</v>
      </c>
      <c r="P17" s="96">
        <f t="shared" si="1"/>
        <v>-45</v>
      </c>
      <c r="Q17" s="96">
        <f t="shared" ref="Q17:R17" si="2">SUM(Q5:Q16)</f>
        <v>6</v>
      </c>
      <c r="R17" s="96">
        <f t="shared" si="2"/>
        <v>0</v>
      </c>
      <c r="S17" s="96">
        <f t="shared" ref="S17:T17" si="3">SUM(S5:S16)</f>
        <v>0</v>
      </c>
      <c r="T17" s="126">
        <f t="shared" si="3"/>
        <v>0</v>
      </c>
      <c r="U17" s="96">
        <f t="shared" ref="U17" si="4">SUM(U5:U16)</f>
        <v>0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69</v>
      </c>
      <c r="B21" s="148">
        <v>5.0000000000000001E-3</v>
      </c>
      <c r="D21" s="94" t="s">
        <v>199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>
        <v>0</v>
      </c>
      <c r="E24" s="12">
        <v>0</v>
      </c>
      <c r="F24" s="2">
        <v>12289</v>
      </c>
      <c r="G24" s="1">
        <v>28323</v>
      </c>
      <c r="H24" s="2">
        <v>6991</v>
      </c>
      <c r="I24" s="2">
        <v>18529</v>
      </c>
      <c r="J24" s="2">
        <v>868</v>
      </c>
      <c r="K24" s="2">
        <v>7</v>
      </c>
      <c r="L24" s="103" t="s">
        <v>152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">
        <v>0</v>
      </c>
      <c r="U24" s="117">
        <v>0</v>
      </c>
    </row>
    <row r="25" spans="1:21" x14ac:dyDescent="0.2">
      <c r="A25" s="26" t="s">
        <v>1</v>
      </c>
      <c r="B25" s="22"/>
      <c r="C25" s="22"/>
      <c r="D25" s="12">
        <v>0</v>
      </c>
      <c r="E25" s="12">
        <v>0</v>
      </c>
      <c r="F25" s="2">
        <f>17542.71+27</f>
        <v>17569.71</v>
      </c>
      <c r="G25" s="1">
        <v>15504</v>
      </c>
      <c r="H25" s="2">
        <v>6859</v>
      </c>
      <c r="I25" s="2">
        <v>6512</v>
      </c>
      <c r="J25" s="2">
        <v>1499</v>
      </c>
      <c r="K25" s="2">
        <v>32</v>
      </c>
      <c r="L25" s="102">
        <v>42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">
        <v>0</v>
      </c>
      <c r="U25" s="117">
        <v>0</v>
      </c>
    </row>
    <row r="26" spans="1:21" x14ac:dyDescent="0.2">
      <c r="A26" s="26" t="s">
        <v>2</v>
      </c>
      <c r="B26" s="22"/>
      <c r="C26" s="22"/>
      <c r="D26" s="12">
        <v>0</v>
      </c>
      <c r="E26" s="12">
        <v>0</v>
      </c>
      <c r="F26" s="2">
        <v>17430.060000000001</v>
      </c>
      <c r="G26" s="1">
        <v>9784</v>
      </c>
      <c r="H26" s="2">
        <v>8210</v>
      </c>
      <c r="I26" s="2">
        <v>12071</v>
      </c>
      <c r="J26" s="2">
        <v>3</v>
      </c>
      <c r="K26" s="2">
        <v>151</v>
      </c>
      <c r="L26" s="102">
        <v>-16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">
        <v>0</v>
      </c>
      <c r="U26" s="117">
        <v>0</v>
      </c>
    </row>
    <row r="27" spans="1:21" x14ac:dyDescent="0.2">
      <c r="A27" s="26" t="s">
        <v>3</v>
      </c>
      <c r="B27" s="22"/>
      <c r="C27" s="22"/>
      <c r="D27" s="12">
        <v>0</v>
      </c>
      <c r="E27" s="12">
        <v>0</v>
      </c>
      <c r="F27" s="2">
        <v>12460.36</v>
      </c>
      <c r="G27" s="1">
        <v>3788</v>
      </c>
      <c r="H27" s="2">
        <v>6651</v>
      </c>
      <c r="I27" s="2">
        <v>8200</v>
      </c>
      <c r="J27" s="2">
        <v>156</v>
      </c>
      <c r="K27" s="2">
        <v>0</v>
      </c>
      <c r="L27" s="102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">
        <v>0</v>
      </c>
      <c r="U27" s="117">
        <v>0</v>
      </c>
    </row>
    <row r="28" spans="1:21" x14ac:dyDescent="0.2">
      <c r="A28" s="26" t="s">
        <v>4</v>
      </c>
      <c r="B28" s="22"/>
      <c r="C28" s="22"/>
      <c r="D28" s="12">
        <v>0</v>
      </c>
      <c r="E28" s="2">
        <v>7859</v>
      </c>
      <c r="F28" s="2">
        <v>18052</v>
      </c>
      <c r="G28" s="1">
        <v>5920</v>
      </c>
      <c r="H28" s="2">
        <v>7455</v>
      </c>
      <c r="I28" s="2">
        <v>11432</v>
      </c>
      <c r="J28" s="2">
        <v>54</v>
      </c>
      <c r="K28" s="2">
        <v>0</v>
      </c>
      <c r="L28" s="102">
        <v>17</v>
      </c>
      <c r="M28" s="143"/>
      <c r="N28" s="143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">
        <v>0</v>
      </c>
      <c r="U28" s="117">
        <v>0</v>
      </c>
    </row>
    <row r="29" spans="1:21" x14ac:dyDescent="0.2">
      <c r="A29" s="26" t="s">
        <v>5</v>
      </c>
      <c r="B29" s="22"/>
      <c r="C29" s="22"/>
      <c r="D29" s="12">
        <v>0</v>
      </c>
      <c r="E29" s="2">
        <v>6879</v>
      </c>
      <c r="F29" s="2">
        <v>7929.5</v>
      </c>
      <c r="G29" s="1">
        <v>6415</v>
      </c>
      <c r="H29" s="2">
        <v>5601</v>
      </c>
      <c r="I29" s="2">
        <v>8253</v>
      </c>
      <c r="J29" s="2">
        <v>0</v>
      </c>
      <c r="K29" s="2">
        <v>115</v>
      </c>
      <c r="L29" s="102">
        <v>1884</v>
      </c>
      <c r="M29" s="117"/>
      <c r="N29" s="117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">
        <v>0</v>
      </c>
      <c r="U29" s="143">
        <v>0</v>
      </c>
    </row>
    <row r="30" spans="1:21" x14ac:dyDescent="0.2">
      <c r="A30" s="26" t="s">
        <v>6</v>
      </c>
      <c r="B30" s="22"/>
      <c r="C30" s="22"/>
      <c r="D30" s="12">
        <v>0</v>
      </c>
      <c r="E30" s="2">
        <v>9165</v>
      </c>
      <c r="F30" s="2">
        <v>9518.73</v>
      </c>
      <c r="G30" s="1">
        <v>9082</v>
      </c>
      <c r="H30" s="2">
        <v>7975</v>
      </c>
      <c r="I30" s="2">
        <v>10255</v>
      </c>
      <c r="J30" s="2">
        <v>25</v>
      </c>
      <c r="K30" s="2">
        <v>0</v>
      </c>
      <c r="L30" s="102">
        <v>103</v>
      </c>
      <c r="M30" s="117">
        <v>1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">
        <v>0</v>
      </c>
      <c r="U30" s="117">
        <v>0</v>
      </c>
    </row>
    <row r="31" spans="1:21" x14ac:dyDescent="0.2">
      <c r="A31" s="26" t="s">
        <v>7</v>
      </c>
      <c r="B31" s="22"/>
      <c r="C31" s="22"/>
      <c r="D31" s="12">
        <v>0</v>
      </c>
      <c r="E31" s="2">
        <v>11893.37</v>
      </c>
      <c r="F31" s="2">
        <v>8408.7000000000007</v>
      </c>
      <c r="G31" s="1">
        <v>6960</v>
      </c>
      <c r="H31" s="2">
        <v>6937</v>
      </c>
      <c r="I31" s="2">
        <v>562</v>
      </c>
      <c r="J31" s="2">
        <v>1915</v>
      </c>
      <c r="K31" s="2">
        <v>250</v>
      </c>
      <c r="L31" s="102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">
        <v>0</v>
      </c>
      <c r="U31" s="117">
        <v>0</v>
      </c>
    </row>
    <row r="32" spans="1:21" x14ac:dyDescent="0.2">
      <c r="A32" s="26" t="s">
        <v>8</v>
      </c>
      <c r="B32" s="22"/>
      <c r="C32" s="22"/>
      <c r="D32" s="12">
        <v>0</v>
      </c>
      <c r="E32" s="2">
        <v>9645</v>
      </c>
      <c r="F32" s="2">
        <v>7544.77</v>
      </c>
      <c r="G32" s="1">
        <v>11281</v>
      </c>
      <c r="H32" s="2">
        <v>9208</v>
      </c>
      <c r="I32" s="2">
        <v>9861</v>
      </c>
      <c r="J32" s="2">
        <v>1607</v>
      </c>
      <c r="K32" s="2">
        <v>53</v>
      </c>
      <c r="L32" s="102">
        <v>0</v>
      </c>
      <c r="M32" s="117">
        <v>467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">
        <v>0</v>
      </c>
      <c r="U32" s="117">
        <v>0</v>
      </c>
    </row>
    <row r="33" spans="1:21" x14ac:dyDescent="0.2">
      <c r="A33" s="26" t="s">
        <v>9</v>
      </c>
      <c r="B33" s="22"/>
      <c r="C33" s="22"/>
      <c r="D33" s="12">
        <v>0</v>
      </c>
      <c r="E33" s="2">
        <v>20672</v>
      </c>
      <c r="F33" s="2">
        <f>11588.29+1.78</f>
        <v>11590.070000000002</v>
      </c>
      <c r="G33" s="1">
        <v>10726</v>
      </c>
      <c r="H33" s="2">
        <v>9298</v>
      </c>
      <c r="I33" s="2">
        <v>265</v>
      </c>
      <c r="J33" s="2">
        <v>44</v>
      </c>
      <c r="K33" s="2">
        <v>1234</v>
      </c>
      <c r="L33" s="102">
        <v>-5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">
        <v>0</v>
      </c>
      <c r="U33" s="117">
        <v>0</v>
      </c>
    </row>
    <row r="34" spans="1:21" x14ac:dyDescent="0.2">
      <c r="A34" s="26" t="s">
        <v>10</v>
      </c>
      <c r="B34" s="22"/>
      <c r="C34" s="22"/>
      <c r="D34" s="12">
        <v>0</v>
      </c>
      <c r="E34" s="2">
        <v>10169</v>
      </c>
      <c r="F34" s="2"/>
      <c r="G34" s="1">
        <v>9246</v>
      </c>
      <c r="H34" s="2">
        <v>7247</v>
      </c>
      <c r="I34" s="2">
        <v>5503</v>
      </c>
      <c r="J34" s="2">
        <v>3799</v>
      </c>
      <c r="K34" s="2">
        <v>2</v>
      </c>
      <c r="L34" s="102">
        <v>-229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">
        <v>0</v>
      </c>
      <c r="U34" s="117">
        <v>0</v>
      </c>
    </row>
    <row r="35" spans="1:21" x14ac:dyDescent="0.2">
      <c r="A35" s="26" t="s">
        <v>11</v>
      </c>
      <c r="B35" s="23"/>
      <c r="C35" s="23"/>
      <c r="D35" s="23">
        <v>0</v>
      </c>
      <c r="E35" s="37">
        <v>7081</v>
      </c>
      <c r="F35" s="37">
        <v>17994</v>
      </c>
      <c r="G35" s="39">
        <v>5741</v>
      </c>
      <c r="H35" s="40">
        <v>8221</v>
      </c>
      <c r="I35" s="40">
        <v>-982</v>
      </c>
      <c r="J35" s="40">
        <v>155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1">
        <v>0</v>
      </c>
      <c r="U35" s="40">
        <v>0</v>
      </c>
    </row>
    <row r="36" spans="1:21" x14ac:dyDescent="0.2">
      <c r="A36" s="25"/>
      <c r="B36" s="14"/>
      <c r="C36" s="14"/>
      <c r="D36" s="14">
        <f t="shared" ref="D36:J36" si="5">SUM(D24:D35)</f>
        <v>0</v>
      </c>
      <c r="E36" s="41">
        <f t="shared" si="5"/>
        <v>83363.37</v>
      </c>
      <c r="F36" s="41">
        <f t="shared" si="5"/>
        <v>140786.90000000002</v>
      </c>
      <c r="G36" s="44">
        <f t="shared" si="5"/>
        <v>122770</v>
      </c>
      <c r="H36" s="44">
        <f t="shared" si="5"/>
        <v>90653</v>
      </c>
      <c r="I36" s="44">
        <f t="shared" si="5"/>
        <v>90461</v>
      </c>
      <c r="J36" s="44">
        <f t="shared" si="5"/>
        <v>10125</v>
      </c>
      <c r="K36" s="44">
        <f t="shared" ref="K36:P36" si="6">SUM(K24:K35)</f>
        <v>1844</v>
      </c>
      <c r="L36" s="96">
        <f t="shared" si="6"/>
        <v>1796</v>
      </c>
      <c r="M36" s="96">
        <f t="shared" si="6"/>
        <v>468</v>
      </c>
      <c r="N36" s="96">
        <f t="shared" si="6"/>
        <v>0</v>
      </c>
      <c r="O36" s="96">
        <f t="shared" si="6"/>
        <v>0</v>
      </c>
      <c r="P36" s="96">
        <f t="shared" si="6"/>
        <v>0</v>
      </c>
      <c r="Q36" s="96">
        <f t="shared" ref="Q36:R36" si="7">SUM(Q24:Q35)</f>
        <v>0</v>
      </c>
      <c r="R36" s="96">
        <f t="shared" si="7"/>
        <v>0</v>
      </c>
      <c r="S36" s="96">
        <f t="shared" ref="S36:U36" si="8">SUM(S24:S35)</f>
        <v>0</v>
      </c>
      <c r="T36" s="126">
        <f t="shared" ref="T36" si="9">SUM(T24:T35)</f>
        <v>0</v>
      </c>
      <c r="U36" s="96">
        <f t="shared" si="8"/>
        <v>0</v>
      </c>
    </row>
    <row r="37" spans="1:21" x14ac:dyDescent="0.2">
      <c r="A37" s="25"/>
      <c r="E37" s="2"/>
      <c r="G37" s="7"/>
      <c r="H37" s="2"/>
      <c r="L37" s="94"/>
    </row>
    <row r="38" spans="1:21" x14ac:dyDescent="0.2">
      <c r="A38" s="25"/>
      <c r="G38" s="7"/>
      <c r="H38" s="2"/>
    </row>
    <row r="39" spans="1:21" x14ac:dyDescent="0.2">
      <c r="A39" s="29" t="s">
        <v>262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"/>
      <c r="G42" s="1">
        <v>0</v>
      </c>
      <c r="H42" s="1">
        <v>-8887</v>
      </c>
      <c r="I42" s="1">
        <v>-35</v>
      </c>
      <c r="J42" s="1">
        <v>-1044</v>
      </c>
      <c r="K42" s="1">
        <v>-863</v>
      </c>
      <c r="L42" s="1">
        <v>-52</v>
      </c>
      <c r="M42" s="1">
        <v>0</v>
      </c>
      <c r="N42" s="1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"/>
      <c r="G43" s="1">
        <v>-20628</v>
      </c>
      <c r="H43" s="1">
        <v>-11151</v>
      </c>
      <c r="I43" s="1">
        <v>-17448</v>
      </c>
      <c r="J43" s="1">
        <v>-9505</v>
      </c>
      <c r="K43" s="1">
        <v>0</v>
      </c>
      <c r="L43" s="1">
        <v>0</v>
      </c>
      <c r="M43" s="1">
        <v>0</v>
      </c>
      <c r="N43" s="1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"/>
      <c r="G44" s="1">
        <v>-32579</v>
      </c>
      <c r="H44" s="1">
        <v>-103</v>
      </c>
      <c r="I44" s="1">
        <v>-7441</v>
      </c>
      <c r="J44" s="1">
        <v>0</v>
      </c>
      <c r="K44" s="1">
        <v>-110</v>
      </c>
      <c r="L44" s="1">
        <v>-314</v>
      </c>
      <c r="M44" s="1">
        <v>0</v>
      </c>
      <c r="N44" s="1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"/>
      <c r="G45" s="1">
        <v>-4353</v>
      </c>
      <c r="H45" s="1">
        <v>-4293</v>
      </c>
      <c r="I45" s="1">
        <v>-2624</v>
      </c>
      <c r="J45" s="1">
        <v>-624</v>
      </c>
      <c r="K45" s="1">
        <v>-465</v>
      </c>
      <c r="L45" s="1">
        <v>0</v>
      </c>
      <c r="M45" s="1">
        <v>-3739</v>
      </c>
      <c r="N45" s="1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"/>
      <c r="G46" s="1">
        <v>-16349</v>
      </c>
      <c r="H46" s="1">
        <v>-1412</v>
      </c>
      <c r="I46" s="1">
        <v>-11045</v>
      </c>
      <c r="J46" s="1">
        <v>-2014</v>
      </c>
      <c r="K46" s="1">
        <v>0</v>
      </c>
      <c r="L46" s="1">
        <v>0</v>
      </c>
      <c r="M46" s="1">
        <v>0</v>
      </c>
      <c r="N46" s="1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"/>
      <c r="G47" s="1">
        <v>-2391</v>
      </c>
      <c r="H47" s="1">
        <v>-465</v>
      </c>
      <c r="I47" s="1">
        <v>0</v>
      </c>
      <c r="J47" s="1">
        <v>0</v>
      </c>
      <c r="K47" s="1">
        <v>-7881</v>
      </c>
      <c r="L47" s="1">
        <v>-60</v>
      </c>
      <c r="M47" s="1">
        <v>0</v>
      </c>
      <c r="N47" s="1">
        <v>0</v>
      </c>
      <c r="O47" s="143">
        <v>0</v>
      </c>
      <c r="P47" s="143">
        <v>0</v>
      </c>
      <c r="Q47" s="143">
        <v>0</v>
      </c>
      <c r="R47" s="143">
        <v>0</v>
      </c>
      <c r="S47" s="143">
        <v>0</v>
      </c>
      <c r="T47" s="1">
        <v>0</v>
      </c>
      <c r="U47" s="143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"/>
      <c r="G48" s="1">
        <v>-5</v>
      </c>
      <c r="H48" s="1">
        <v>-73</v>
      </c>
      <c r="I48" s="1">
        <v>-19835</v>
      </c>
      <c r="J48" s="1">
        <v>-566</v>
      </c>
      <c r="K48" s="1">
        <v>-240</v>
      </c>
      <c r="L48" s="1">
        <v>0</v>
      </c>
      <c r="M48" s="1">
        <v>0</v>
      </c>
      <c r="N48" s="1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"/>
      <c r="G49" s="1">
        <v>-6461</v>
      </c>
      <c r="H49" s="1">
        <v>-2784</v>
      </c>
      <c r="I49" s="1">
        <v>-203</v>
      </c>
      <c r="J49" s="1">
        <v>-935</v>
      </c>
      <c r="K49" s="1">
        <v>0</v>
      </c>
      <c r="L49" s="1">
        <v>-14</v>
      </c>
      <c r="M49" s="1">
        <v>0</v>
      </c>
      <c r="N49" s="1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"/>
      <c r="G50" s="1">
        <v>-14748</v>
      </c>
      <c r="H50" s="1">
        <v>-831</v>
      </c>
      <c r="I50" s="1">
        <v>-6083</v>
      </c>
      <c r="J50" s="1">
        <v>0</v>
      </c>
      <c r="K50" s="1">
        <v>0</v>
      </c>
      <c r="L50" s="1">
        <v>-229</v>
      </c>
      <c r="M50" s="1">
        <v>0</v>
      </c>
      <c r="N50" s="1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"/>
      <c r="G51" s="1">
        <v>-19439</v>
      </c>
      <c r="H51" s="1">
        <v>-6335</v>
      </c>
      <c r="I51" s="1">
        <v>-16486</v>
      </c>
      <c r="J51" s="1">
        <v>-4506</v>
      </c>
      <c r="K51" s="1">
        <v>-141</v>
      </c>
      <c r="L51" s="1">
        <v>0</v>
      </c>
      <c r="M51" s="1">
        <v>0</v>
      </c>
      <c r="N51" s="1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"/>
      <c r="G52" s="1">
        <v>-4694</v>
      </c>
      <c r="H52" s="1">
        <v>-13545</v>
      </c>
      <c r="I52" s="1">
        <v>-2724</v>
      </c>
      <c r="J52" s="1">
        <v>-21360</v>
      </c>
      <c r="K52" s="1">
        <v>-566</v>
      </c>
      <c r="L52" s="1">
        <v>0</v>
      </c>
      <c r="M52" s="1">
        <v>0</v>
      </c>
      <c r="N52" s="1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39">
        <v>-19</v>
      </c>
      <c r="G53" s="39">
        <v>-2309</v>
      </c>
      <c r="H53" s="39">
        <v>0</v>
      </c>
      <c r="I53" s="39">
        <v>-8530</v>
      </c>
      <c r="J53" s="39">
        <v>-2587</v>
      </c>
      <c r="K53" s="39">
        <v>-9370</v>
      </c>
      <c r="L53" s="39">
        <v>0</v>
      </c>
      <c r="M53" s="39">
        <v>0</v>
      </c>
      <c r="N53" s="39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1">
        <v>0</v>
      </c>
      <c r="U53" s="40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-19</v>
      </c>
      <c r="G54" s="126">
        <f t="shared" si="10"/>
        <v>-123956</v>
      </c>
      <c r="H54" s="126">
        <f t="shared" si="10"/>
        <v>-49879</v>
      </c>
      <c r="I54" s="126">
        <f t="shared" si="10"/>
        <v>-92454</v>
      </c>
      <c r="J54" s="126">
        <f t="shared" si="10"/>
        <v>-43141</v>
      </c>
      <c r="K54" s="126">
        <f t="shared" si="10"/>
        <v>-19636</v>
      </c>
      <c r="L54" s="126">
        <f t="shared" si="10"/>
        <v>-669</v>
      </c>
      <c r="M54" s="126">
        <f t="shared" si="10"/>
        <v>-3739</v>
      </c>
      <c r="N54" s="126">
        <f t="shared" si="10"/>
        <v>0</v>
      </c>
      <c r="O54" s="96">
        <f>SUM(O42:O53)</f>
        <v>0</v>
      </c>
      <c r="P54" s="96">
        <f>SUM(P42:P53)</f>
        <v>0</v>
      </c>
      <c r="Q54" s="96">
        <f>SUM(Q42:Q53)</f>
        <v>0</v>
      </c>
      <c r="R54" s="96">
        <f>SUM(R42:R53)</f>
        <v>0</v>
      </c>
      <c r="S54" s="96">
        <f>SUM(S42:S53)</f>
        <v>0</v>
      </c>
      <c r="T54" s="126">
        <f t="shared" ref="T54" si="11">SUM(T42:T53)</f>
        <v>0</v>
      </c>
      <c r="U54" s="96">
        <f>SUM(U42:U53)</f>
        <v>0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.5703125" bestFit="1" customWidth="1"/>
    <col min="4" max="4" width="6.5703125" bestFit="1" customWidth="1"/>
    <col min="5" max="5" width="5.5703125" bestFit="1" customWidth="1"/>
    <col min="6" max="7" width="11.7109375" bestFit="1" customWidth="1"/>
    <col min="8" max="9" width="11.140625" bestFit="1" customWidth="1"/>
    <col min="10" max="11" width="11.42578125" bestFit="1" customWidth="1"/>
    <col min="12" max="15" width="12.7109375" bestFit="1" customWidth="1"/>
    <col min="16" max="19" width="11.42578125" bestFit="1" customWidth="1"/>
    <col min="20" max="21" width="11.28515625" bestFit="1" customWidth="1"/>
  </cols>
  <sheetData>
    <row r="1" spans="1:21" x14ac:dyDescent="0.2">
      <c r="A1" s="89" t="s">
        <v>170</v>
      </c>
    </row>
    <row r="2" spans="1:21" x14ac:dyDescent="0.2">
      <c r="A2" s="24" t="s">
        <v>84</v>
      </c>
      <c r="B2" s="6">
        <v>2.5000000000000001E-3</v>
      </c>
      <c r="D2" s="94" t="s">
        <v>320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>
        <v>8557204</v>
      </c>
      <c r="H5" s="2">
        <v>8173347</v>
      </c>
      <c r="I5" s="2">
        <v>8973643</v>
      </c>
      <c r="J5" s="2">
        <v>9103524</v>
      </c>
      <c r="K5" s="2">
        <v>9487607</v>
      </c>
      <c r="L5" s="102">
        <v>10010289</v>
      </c>
      <c r="M5" s="117">
        <v>10457516</v>
      </c>
      <c r="N5" s="117">
        <v>10838949</v>
      </c>
      <c r="O5" s="117">
        <v>11018002</v>
      </c>
      <c r="P5" s="117">
        <v>301964</v>
      </c>
      <c r="Q5" s="117">
        <v>177993</v>
      </c>
      <c r="R5" s="1">
        <v>40732</v>
      </c>
      <c r="S5" s="1">
        <v>-5471</v>
      </c>
      <c r="T5" s="1">
        <v>2328</v>
      </c>
      <c r="U5" s="1">
        <v>-9987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>
        <v>6640736</v>
      </c>
      <c r="H6" s="2">
        <v>5886169</v>
      </c>
      <c r="I6" s="2">
        <v>6389858</v>
      </c>
      <c r="J6" s="2">
        <v>6586662</v>
      </c>
      <c r="K6" s="2">
        <v>7045102</v>
      </c>
      <c r="L6" s="102">
        <v>7569252</v>
      </c>
      <c r="M6" s="117">
        <v>7984272</v>
      </c>
      <c r="N6" s="117">
        <v>7922918</v>
      </c>
      <c r="O6" s="117">
        <v>8146467</v>
      </c>
      <c r="P6" s="117">
        <v>126112</v>
      </c>
      <c r="Q6" s="117">
        <v>64059</v>
      </c>
      <c r="R6" s="1">
        <v>187642</v>
      </c>
      <c r="S6" s="1">
        <v>-78046</v>
      </c>
      <c r="T6" s="1">
        <v>-2105</v>
      </c>
      <c r="U6" s="1">
        <v>42484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>
        <v>5866138</v>
      </c>
      <c r="H7" s="2">
        <v>5601653</v>
      </c>
      <c r="I7" s="2">
        <v>6187518</v>
      </c>
      <c r="J7" s="2">
        <v>6527587</v>
      </c>
      <c r="K7" s="2">
        <v>6695520</v>
      </c>
      <c r="L7" s="106">
        <v>6889100</v>
      </c>
      <c r="M7" s="117">
        <v>7444573</v>
      </c>
      <c r="N7" s="117">
        <v>7465297</v>
      </c>
      <c r="O7" s="117">
        <v>7679795</v>
      </c>
      <c r="P7" s="117">
        <v>45859</v>
      </c>
      <c r="Q7" s="117">
        <v>63725</v>
      </c>
      <c r="R7" s="1">
        <v>128091</v>
      </c>
      <c r="S7" s="1">
        <v>-71940</v>
      </c>
      <c r="T7" s="1">
        <v>11830</v>
      </c>
      <c r="U7" s="1">
        <v>1916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>
        <v>6456044</v>
      </c>
      <c r="H8" s="2">
        <v>6803521</v>
      </c>
      <c r="I8" s="2">
        <v>7066947</v>
      </c>
      <c r="J8" s="2">
        <v>7597210</v>
      </c>
      <c r="K8" s="2">
        <v>7774734</v>
      </c>
      <c r="L8" s="106">
        <v>8029520</v>
      </c>
      <c r="M8" s="117">
        <v>8757194</v>
      </c>
      <c r="N8" s="117">
        <v>8763416</v>
      </c>
      <c r="O8" s="117">
        <v>9092991</v>
      </c>
      <c r="P8" s="117">
        <v>78442</v>
      </c>
      <c r="Q8" s="117">
        <v>43051</v>
      </c>
      <c r="R8" s="1">
        <v>38375</v>
      </c>
      <c r="S8" s="1">
        <v>9080</v>
      </c>
      <c r="T8" s="1">
        <v>7043</v>
      </c>
      <c r="U8" s="1">
        <v>7442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>
        <v>6325410</v>
      </c>
      <c r="H9" s="2">
        <v>6633926</v>
      </c>
      <c r="I9" s="2">
        <v>7000754</v>
      </c>
      <c r="J9" s="2">
        <v>7330569</v>
      </c>
      <c r="K9" s="2">
        <v>7653041</v>
      </c>
      <c r="L9" s="106">
        <v>7957912</v>
      </c>
      <c r="M9" s="117">
        <v>8460711</v>
      </c>
      <c r="N9" s="117">
        <v>8687758</v>
      </c>
      <c r="O9" s="117">
        <v>8668562</v>
      </c>
      <c r="P9" s="117">
        <v>1435</v>
      </c>
      <c r="Q9" s="117">
        <v>47418</v>
      </c>
      <c r="R9" s="1">
        <v>18317</v>
      </c>
      <c r="S9" s="1">
        <v>-72015</v>
      </c>
      <c r="T9" s="1">
        <v>4397</v>
      </c>
      <c r="U9" s="1">
        <v>-1580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>
        <v>6755764</v>
      </c>
      <c r="H10" s="2">
        <v>6996224</v>
      </c>
      <c r="I10" s="2">
        <v>7652057</v>
      </c>
      <c r="J10" s="2">
        <v>7623367</v>
      </c>
      <c r="K10" s="2">
        <v>8287374</v>
      </c>
      <c r="L10" s="106">
        <v>8727580</v>
      </c>
      <c r="M10" s="117">
        <v>8998644</v>
      </c>
      <c r="N10" s="117">
        <v>9190954</v>
      </c>
      <c r="O10" s="117">
        <v>9475144</v>
      </c>
      <c r="P10" s="117">
        <v>55646</v>
      </c>
      <c r="Q10" s="117">
        <v>24464</v>
      </c>
      <c r="R10" s="1">
        <v>-31498</v>
      </c>
      <c r="S10" s="1">
        <v>-195356</v>
      </c>
      <c r="T10" s="1">
        <v>6329</v>
      </c>
      <c r="U10" s="1">
        <v>-116469</v>
      </c>
    </row>
    <row r="11" spans="1:21" x14ac:dyDescent="0.2">
      <c r="A11" s="26" t="s">
        <v>6</v>
      </c>
      <c r="B11" s="21"/>
      <c r="C11" s="22"/>
      <c r="D11" s="12"/>
      <c r="E11" s="12"/>
      <c r="F11" s="2">
        <v>2891</v>
      </c>
      <c r="G11" s="1">
        <v>5889747</v>
      </c>
      <c r="H11" s="2">
        <v>6584727</v>
      </c>
      <c r="I11" s="2">
        <v>6750212</v>
      </c>
      <c r="J11" s="2">
        <v>7591918</v>
      </c>
      <c r="K11" s="2">
        <v>7899598</v>
      </c>
      <c r="L11" s="106">
        <v>8373825</v>
      </c>
      <c r="M11" s="117">
        <v>8693774</v>
      </c>
      <c r="N11" s="117">
        <v>8666640</v>
      </c>
      <c r="O11" s="117">
        <v>9049416</v>
      </c>
      <c r="P11" s="117">
        <v>-4117</v>
      </c>
      <c r="Q11" s="117">
        <v>65988</v>
      </c>
      <c r="R11" s="1">
        <v>53387</v>
      </c>
      <c r="S11" s="1">
        <v>-70087</v>
      </c>
      <c r="T11" s="1">
        <v>3857</v>
      </c>
      <c r="U11" s="1">
        <v>397</v>
      </c>
    </row>
    <row r="12" spans="1:21" x14ac:dyDescent="0.2">
      <c r="A12" s="26" t="s">
        <v>7</v>
      </c>
      <c r="B12" s="21"/>
      <c r="C12" s="22"/>
      <c r="D12" s="12"/>
      <c r="E12" s="12"/>
      <c r="F12" s="2">
        <f>5881280.35+4503</f>
        <v>5885783.3499999996</v>
      </c>
      <c r="G12" s="1">
        <v>7887395</v>
      </c>
      <c r="H12" s="2">
        <v>8082311</v>
      </c>
      <c r="I12" s="2">
        <v>8071703</v>
      </c>
      <c r="J12" s="2">
        <v>9032652</v>
      </c>
      <c r="K12" s="2">
        <v>9707541</v>
      </c>
      <c r="L12" s="106">
        <v>9993929</v>
      </c>
      <c r="M12" s="117">
        <v>10592430</v>
      </c>
      <c r="N12" s="117">
        <v>10580737</v>
      </c>
      <c r="O12" s="117">
        <v>10618029</v>
      </c>
      <c r="P12" s="117">
        <v>64373</v>
      </c>
      <c r="Q12" s="117">
        <v>22965</v>
      </c>
      <c r="R12" s="1">
        <v>26123</v>
      </c>
      <c r="S12" s="1">
        <v>-199146</v>
      </c>
      <c r="T12" s="1">
        <v>-13914</v>
      </c>
      <c r="U12" s="1">
        <v>7</v>
      </c>
    </row>
    <row r="13" spans="1:21" x14ac:dyDescent="0.2">
      <c r="A13" s="26" t="s">
        <v>8</v>
      </c>
      <c r="B13" s="21"/>
      <c r="C13" s="22"/>
      <c r="D13" s="12"/>
      <c r="E13" s="12"/>
      <c r="F13" s="2">
        <f>6668537.29+510</f>
        <v>6669047.29</v>
      </c>
      <c r="G13" s="1">
        <v>6454472</v>
      </c>
      <c r="H13" s="2">
        <v>7289494</v>
      </c>
      <c r="I13" s="2">
        <v>8500762</v>
      </c>
      <c r="J13" s="2">
        <v>8072074</v>
      </c>
      <c r="K13" s="2">
        <v>8680701</v>
      </c>
      <c r="L13" s="106">
        <v>8793823</v>
      </c>
      <c r="M13" s="117">
        <v>9145489</v>
      </c>
      <c r="N13" s="117">
        <v>9618914</v>
      </c>
      <c r="O13" s="117">
        <v>9943254</v>
      </c>
      <c r="P13" s="117">
        <v>53814</v>
      </c>
      <c r="Q13" s="117">
        <v>114711</v>
      </c>
      <c r="R13" s="2">
        <v>13624</v>
      </c>
      <c r="S13" s="1">
        <v>94139</v>
      </c>
      <c r="T13" s="1">
        <v>-170</v>
      </c>
      <c r="U13" s="1">
        <v>2917</v>
      </c>
    </row>
    <row r="14" spans="1:21" x14ac:dyDescent="0.2">
      <c r="A14" s="26" t="s">
        <v>9</v>
      </c>
      <c r="B14" s="21"/>
      <c r="C14" s="22"/>
      <c r="D14" s="12"/>
      <c r="E14" s="12"/>
      <c r="F14" s="2">
        <f>6950988.48+2550-1314.3+66</f>
        <v>6952290.1800000006</v>
      </c>
      <c r="G14" s="1">
        <v>7054051</v>
      </c>
      <c r="H14" s="2">
        <v>7708330</v>
      </c>
      <c r="I14" s="2">
        <v>7985276</v>
      </c>
      <c r="J14" s="2">
        <v>8242644</v>
      </c>
      <c r="K14" s="2">
        <v>9328574</v>
      </c>
      <c r="L14" s="106">
        <v>8863918</v>
      </c>
      <c r="M14" s="117">
        <v>9355423</v>
      </c>
      <c r="N14" s="117">
        <v>9711118</v>
      </c>
      <c r="O14" s="117">
        <v>9876573</v>
      </c>
      <c r="P14" s="117">
        <v>75041</v>
      </c>
      <c r="Q14" s="117">
        <v>42714</v>
      </c>
      <c r="R14" s="1">
        <v>38917</v>
      </c>
      <c r="S14" s="1">
        <v>-74639</v>
      </c>
      <c r="T14" s="1">
        <v>-413</v>
      </c>
      <c r="U14" s="1">
        <v>1501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>
        <v>6485075</v>
      </c>
      <c r="H15" s="2">
        <v>6792182</v>
      </c>
      <c r="I15" s="2">
        <v>7469128</v>
      </c>
      <c r="J15" s="2">
        <v>7713056</v>
      </c>
      <c r="K15" s="2">
        <v>8446532</v>
      </c>
      <c r="L15" s="106">
        <v>8793599</v>
      </c>
      <c r="M15" s="117">
        <v>8937020</v>
      </c>
      <c r="N15" s="117">
        <v>9165894</v>
      </c>
      <c r="O15" s="117">
        <v>569855</v>
      </c>
      <c r="P15" s="117">
        <v>114529</v>
      </c>
      <c r="Q15" s="117">
        <v>133060</v>
      </c>
      <c r="R15" s="1">
        <v>173537</v>
      </c>
      <c r="S15" s="1">
        <v>6696</v>
      </c>
      <c r="T15" s="1">
        <v>-1819</v>
      </c>
      <c r="U15" s="1">
        <v>-30514</v>
      </c>
    </row>
    <row r="16" spans="1:21" x14ac:dyDescent="0.2">
      <c r="A16" s="26" t="s">
        <v>11</v>
      </c>
      <c r="B16" s="8"/>
      <c r="C16" s="23"/>
      <c r="D16" s="23"/>
      <c r="E16" s="23"/>
      <c r="F16" s="37">
        <v>12053713</v>
      </c>
      <c r="G16" s="39">
        <v>6212114</v>
      </c>
      <c r="H16" s="40">
        <v>6830796</v>
      </c>
      <c r="I16" s="40">
        <v>7137815</v>
      </c>
      <c r="J16" s="40">
        <v>7372994</v>
      </c>
      <c r="K16" s="40">
        <v>8255001</v>
      </c>
      <c r="L16" s="95">
        <v>8217179</v>
      </c>
      <c r="M16" s="95">
        <v>8659165</v>
      </c>
      <c r="N16" s="95">
        <v>8866345</v>
      </c>
      <c r="O16" s="95">
        <v>197453</v>
      </c>
      <c r="P16" s="95">
        <v>1367</v>
      </c>
      <c r="Q16" s="95">
        <v>-20167</v>
      </c>
      <c r="R16" s="1">
        <v>7576</v>
      </c>
      <c r="S16" s="1">
        <v>-70577</v>
      </c>
      <c r="T16" s="1">
        <v>-95281</v>
      </c>
      <c r="U16" s="1">
        <v>644</v>
      </c>
    </row>
    <row r="17" spans="1:21" x14ac:dyDescent="0.2">
      <c r="A17" s="25"/>
      <c r="B17" s="4"/>
      <c r="C17" s="14"/>
      <c r="D17" s="14"/>
      <c r="E17" s="14"/>
      <c r="F17" s="41">
        <f>SUM(F6:F16)</f>
        <v>31563724.82</v>
      </c>
      <c r="G17" s="41">
        <f t="shared" ref="G17:L17" si="0">SUM(G5:G16)</f>
        <v>80584150</v>
      </c>
      <c r="H17" s="44">
        <f t="shared" si="0"/>
        <v>83382680</v>
      </c>
      <c r="I17" s="44">
        <f t="shared" si="0"/>
        <v>89185673</v>
      </c>
      <c r="J17" s="44">
        <f t="shared" si="0"/>
        <v>92794257</v>
      </c>
      <c r="K17" s="44">
        <f t="shared" si="0"/>
        <v>99261325</v>
      </c>
      <c r="L17" s="96">
        <f t="shared" si="0"/>
        <v>102219926</v>
      </c>
      <c r="M17" s="96">
        <f t="shared" ref="M17:Q17" si="1">SUM(M5:M16)</f>
        <v>107486211</v>
      </c>
      <c r="N17" s="96">
        <f t="shared" si="1"/>
        <v>109478940</v>
      </c>
      <c r="O17" s="96">
        <f t="shared" si="1"/>
        <v>94335541</v>
      </c>
      <c r="P17" s="96">
        <f t="shared" si="1"/>
        <v>914465</v>
      </c>
      <c r="Q17" s="96">
        <f t="shared" si="1"/>
        <v>779981</v>
      </c>
      <c r="R17" s="126">
        <f t="shared" ref="R17:S17" si="2">SUM(R5:R16)</f>
        <v>694823</v>
      </c>
      <c r="S17" s="126">
        <f t="shared" si="2"/>
        <v>-727362</v>
      </c>
      <c r="T17" s="126">
        <f t="shared" ref="T17:U17" si="3">SUM(T5:T16)</f>
        <v>-77918</v>
      </c>
      <c r="U17" s="126">
        <f t="shared" si="3"/>
        <v>-101242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  <c r="O19" t="s">
        <v>290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320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>
        <v>708387</v>
      </c>
      <c r="H24" s="2">
        <v>695753</v>
      </c>
      <c r="I24" s="2">
        <v>921008</v>
      </c>
      <c r="J24" s="2">
        <v>879799</v>
      </c>
      <c r="K24" s="2">
        <v>862770</v>
      </c>
      <c r="L24" s="102">
        <v>1049173</v>
      </c>
      <c r="M24" s="117">
        <v>1310802</v>
      </c>
      <c r="N24" s="117">
        <v>950345</v>
      </c>
      <c r="O24" s="117">
        <v>1046414</v>
      </c>
      <c r="P24" s="117">
        <v>149969</v>
      </c>
      <c r="Q24" s="117">
        <v>4806610</v>
      </c>
      <c r="R24" s="1">
        <v>163759</v>
      </c>
      <c r="S24" s="1">
        <v>8147</v>
      </c>
      <c r="T24" s="1">
        <v>1612</v>
      </c>
      <c r="U24" s="1">
        <v>-1477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>
        <v>598064</v>
      </c>
      <c r="H25" s="2">
        <v>576979</v>
      </c>
      <c r="I25" s="2">
        <v>540696</v>
      </c>
      <c r="J25" s="2">
        <v>745915</v>
      </c>
      <c r="K25" s="2">
        <v>708033</v>
      </c>
      <c r="L25" s="102">
        <v>938613</v>
      </c>
      <c r="M25" s="117">
        <v>777062</v>
      </c>
      <c r="N25" s="117">
        <v>809161</v>
      </c>
      <c r="O25" s="117">
        <v>547938</v>
      </c>
      <c r="P25" s="117">
        <v>80507</v>
      </c>
      <c r="Q25" s="117">
        <v>14300</v>
      </c>
      <c r="R25" s="1">
        <v>-94585</v>
      </c>
      <c r="S25" s="1">
        <v>12958</v>
      </c>
      <c r="T25" s="1">
        <v>-10302</v>
      </c>
      <c r="U25" s="1">
        <v>-855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>
        <v>462394</v>
      </c>
      <c r="H26" s="2">
        <v>586129</v>
      </c>
      <c r="I26" s="2">
        <v>492122</v>
      </c>
      <c r="J26" s="2">
        <v>530411</v>
      </c>
      <c r="K26" s="2">
        <v>512281</v>
      </c>
      <c r="L26" s="102">
        <v>618841</v>
      </c>
      <c r="M26" s="117">
        <v>277251</v>
      </c>
      <c r="N26" s="117">
        <v>676856</v>
      </c>
      <c r="O26" s="117">
        <v>612515</v>
      </c>
      <c r="P26" s="117">
        <v>-252848</v>
      </c>
      <c r="Q26" s="117">
        <v>-100874</v>
      </c>
      <c r="R26" s="1">
        <v>33162</v>
      </c>
      <c r="S26" s="1">
        <v>-28827</v>
      </c>
      <c r="T26" s="1">
        <v>2901</v>
      </c>
      <c r="U26" s="1">
        <v>-320865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>
        <v>555703</v>
      </c>
      <c r="H27" s="2">
        <v>631609</v>
      </c>
      <c r="I27" s="2">
        <v>591224</v>
      </c>
      <c r="J27" s="2">
        <v>565545</v>
      </c>
      <c r="K27" s="2">
        <v>714200</v>
      </c>
      <c r="L27" s="102">
        <v>1022975</v>
      </c>
      <c r="M27" s="117">
        <v>799755</v>
      </c>
      <c r="N27" s="117">
        <v>770323</v>
      </c>
      <c r="O27" s="117">
        <v>628164</v>
      </c>
      <c r="P27" s="117">
        <v>64706</v>
      </c>
      <c r="Q27" s="117">
        <v>-10669</v>
      </c>
      <c r="R27" s="1">
        <v>13618</v>
      </c>
      <c r="S27" s="1">
        <v>-28833</v>
      </c>
      <c r="T27" s="1">
        <v>1896</v>
      </c>
      <c r="U27" s="1">
        <v>47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>
        <v>491712</v>
      </c>
      <c r="H28" s="2">
        <v>485640</v>
      </c>
      <c r="I28" s="2">
        <v>599949</v>
      </c>
      <c r="J28" s="2">
        <v>608647</v>
      </c>
      <c r="K28" s="2">
        <v>685468</v>
      </c>
      <c r="L28" s="102">
        <v>804291</v>
      </c>
      <c r="M28" s="117">
        <v>784971</v>
      </c>
      <c r="N28" s="117">
        <v>763497</v>
      </c>
      <c r="O28" s="117">
        <v>721697</v>
      </c>
      <c r="P28" s="117">
        <v>110632</v>
      </c>
      <c r="Q28" s="117">
        <v>36558</v>
      </c>
      <c r="R28" s="1">
        <v>115161</v>
      </c>
      <c r="S28" s="1">
        <v>26891</v>
      </c>
      <c r="T28" s="1">
        <v>25756</v>
      </c>
      <c r="U28" s="1">
        <v>212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>
        <v>559532</v>
      </c>
      <c r="H29" s="2">
        <v>489224</v>
      </c>
      <c r="I29" s="2">
        <v>580062</v>
      </c>
      <c r="J29" s="2">
        <v>672210</v>
      </c>
      <c r="K29" s="2">
        <v>668340</v>
      </c>
      <c r="L29" s="102">
        <v>670580</v>
      </c>
      <c r="M29" s="117">
        <v>741355</v>
      </c>
      <c r="N29" s="117">
        <v>506236</v>
      </c>
      <c r="O29" s="117">
        <v>1067100</v>
      </c>
      <c r="P29" s="117">
        <v>-12530</v>
      </c>
      <c r="Q29" s="117">
        <v>16653</v>
      </c>
      <c r="R29" s="1">
        <v>-71316</v>
      </c>
      <c r="S29" s="1">
        <v>-7382</v>
      </c>
      <c r="T29" s="1">
        <v>6034</v>
      </c>
      <c r="U29" s="1">
        <v>-184</v>
      </c>
    </row>
    <row r="30" spans="1:21" x14ac:dyDescent="0.2">
      <c r="A30" s="26" t="s">
        <v>6</v>
      </c>
      <c r="B30" s="21"/>
      <c r="C30" s="22"/>
      <c r="D30" s="12"/>
      <c r="E30" s="12"/>
      <c r="F30" s="2">
        <v>1</v>
      </c>
      <c r="G30" s="1">
        <v>445213</v>
      </c>
      <c r="H30" s="2">
        <v>464026</v>
      </c>
      <c r="I30" s="2">
        <v>591064</v>
      </c>
      <c r="J30" s="2">
        <v>652674</v>
      </c>
      <c r="K30" s="2">
        <v>668283</v>
      </c>
      <c r="L30" s="102">
        <v>716108</v>
      </c>
      <c r="M30" s="117">
        <v>700200</v>
      </c>
      <c r="N30" s="117">
        <v>726682</v>
      </c>
      <c r="O30" s="117">
        <v>741062</v>
      </c>
      <c r="P30" s="117">
        <v>60957</v>
      </c>
      <c r="Q30" s="117">
        <v>-105814</v>
      </c>
      <c r="R30" s="1">
        <v>-85689</v>
      </c>
      <c r="S30" s="1">
        <v>-17040</v>
      </c>
      <c r="T30" s="1">
        <v>763</v>
      </c>
      <c r="U30" s="1">
        <v>104</v>
      </c>
    </row>
    <row r="31" spans="1:21" x14ac:dyDescent="0.2">
      <c r="A31" s="26" t="s">
        <v>7</v>
      </c>
      <c r="B31" s="21"/>
      <c r="C31" s="22"/>
      <c r="D31" s="12"/>
      <c r="E31" s="12"/>
      <c r="F31" s="2">
        <f>413014+393</f>
        <v>413407</v>
      </c>
      <c r="G31" s="1">
        <v>644805</v>
      </c>
      <c r="H31" s="2">
        <v>634339</v>
      </c>
      <c r="I31" s="2">
        <v>681191</v>
      </c>
      <c r="J31" s="2">
        <v>777441</v>
      </c>
      <c r="K31" s="2">
        <v>867176</v>
      </c>
      <c r="L31" s="102">
        <v>734943</v>
      </c>
      <c r="M31" s="117">
        <v>1095786</v>
      </c>
      <c r="N31" s="117">
        <v>758456</v>
      </c>
      <c r="O31" s="117">
        <v>774521</v>
      </c>
      <c r="P31" s="117">
        <v>21187</v>
      </c>
      <c r="Q31" s="117">
        <v>-102370</v>
      </c>
      <c r="R31" s="1">
        <v>-130509</v>
      </c>
      <c r="S31" s="1">
        <v>11230</v>
      </c>
      <c r="T31" s="1">
        <v>-71</v>
      </c>
      <c r="U31" s="1">
        <v>292</v>
      </c>
    </row>
    <row r="32" spans="1:21" x14ac:dyDescent="0.2">
      <c r="A32" s="26" t="s">
        <v>8</v>
      </c>
      <c r="B32" s="21"/>
      <c r="C32" s="22"/>
      <c r="D32" s="12"/>
      <c r="E32" s="12"/>
      <c r="F32" s="2">
        <f>498843.99-214</f>
        <v>498629.99</v>
      </c>
      <c r="G32" s="1">
        <v>452763</v>
      </c>
      <c r="H32" s="2">
        <v>517155</v>
      </c>
      <c r="I32" s="2">
        <v>666115</v>
      </c>
      <c r="J32" s="2">
        <v>720387</v>
      </c>
      <c r="K32" s="2">
        <v>592787</v>
      </c>
      <c r="L32" s="102">
        <v>727260</v>
      </c>
      <c r="M32" s="117">
        <v>649408</v>
      </c>
      <c r="N32" s="117">
        <v>655591</v>
      </c>
      <c r="O32" s="117">
        <v>617135</v>
      </c>
      <c r="P32" s="117">
        <v>41689</v>
      </c>
      <c r="Q32" s="117">
        <v>-6237</v>
      </c>
      <c r="R32" s="2">
        <v>27237</v>
      </c>
      <c r="S32" s="1">
        <v>18395</v>
      </c>
      <c r="T32" s="1">
        <v>-14016</v>
      </c>
      <c r="U32" s="1">
        <v>-2710</v>
      </c>
    </row>
    <row r="33" spans="1:21" x14ac:dyDescent="0.2">
      <c r="A33" s="26" t="s">
        <v>9</v>
      </c>
      <c r="B33" s="21"/>
      <c r="C33" s="22"/>
      <c r="D33" s="12"/>
      <c r="E33" s="12"/>
      <c r="F33" s="2">
        <f>566616.13+246-573.15</f>
        <v>566288.98</v>
      </c>
      <c r="G33" s="1">
        <v>537759</v>
      </c>
      <c r="H33" s="2">
        <v>574278</v>
      </c>
      <c r="I33" s="2">
        <v>677729</v>
      </c>
      <c r="J33" s="2">
        <v>792629</v>
      </c>
      <c r="K33" s="2">
        <v>910972</v>
      </c>
      <c r="L33" s="102">
        <v>582536</v>
      </c>
      <c r="M33" s="117">
        <v>765338</v>
      </c>
      <c r="N33" s="117">
        <v>679830</v>
      </c>
      <c r="O33" s="117">
        <v>756868</v>
      </c>
      <c r="P33" s="117">
        <v>68711</v>
      </c>
      <c r="Q33" s="117">
        <v>2768</v>
      </c>
      <c r="R33" s="1">
        <v>10068</v>
      </c>
      <c r="S33" s="1">
        <v>-545</v>
      </c>
      <c r="T33" s="1">
        <v>-2036</v>
      </c>
      <c r="U33" s="1">
        <v>-244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>
        <v>510735</v>
      </c>
      <c r="H34" s="2">
        <v>552008</v>
      </c>
      <c r="I34" s="2">
        <v>643189</v>
      </c>
      <c r="J34" s="2">
        <v>707299</v>
      </c>
      <c r="K34" s="2">
        <v>854824</v>
      </c>
      <c r="L34" s="102">
        <v>907164</v>
      </c>
      <c r="M34" s="117">
        <v>650000</v>
      </c>
      <c r="N34" s="117">
        <v>711662</v>
      </c>
      <c r="O34" s="117">
        <v>64442</v>
      </c>
      <c r="P34" s="117">
        <v>-105434</v>
      </c>
      <c r="Q34" s="117">
        <v>-8586</v>
      </c>
      <c r="R34" s="1">
        <v>-38012</v>
      </c>
      <c r="S34" s="1">
        <v>-14935</v>
      </c>
      <c r="T34" s="1">
        <v>-1321</v>
      </c>
      <c r="U34" s="1">
        <v>3377</v>
      </c>
    </row>
    <row r="35" spans="1:21" x14ac:dyDescent="0.2">
      <c r="A35" s="26" t="s">
        <v>11</v>
      </c>
      <c r="B35" s="8"/>
      <c r="C35" s="23"/>
      <c r="D35" s="23"/>
      <c r="E35" s="23"/>
      <c r="F35" s="37">
        <v>982597</v>
      </c>
      <c r="G35" s="39">
        <v>439604</v>
      </c>
      <c r="H35" s="40">
        <v>579433</v>
      </c>
      <c r="I35" s="40">
        <v>603562</v>
      </c>
      <c r="J35" s="40">
        <v>630242</v>
      </c>
      <c r="K35" s="40">
        <v>794473</v>
      </c>
      <c r="L35" s="95">
        <v>651736</v>
      </c>
      <c r="M35" s="95">
        <v>620733</v>
      </c>
      <c r="N35" s="95">
        <v>481207</v>
      </c>
      <c r="O35" s="95">
        <v>45358</v>
      </c>
      <c r="P35" s="95">
        <v>41668</v>
      </c>
      <c r="Q35" s="95">
        <v>26943</v>
      </c>
      <c r="R35" s="1">
        <v>4714</v>
      </c>
      <c r="S35" s="1">
        <v>4436</v>
      </c>
      <c r="T35" s="1">
        <v>-4639183</v>
      </c>
      <c r="U35" s="1">
        <v>9</v>
      </c>
    </row>
    <row r="36" spans="1:21" x14ac:dyDescent="0.2">
      <c r="A36" s="25"/>
      <c r="B36" s="4"/>
      <c r="C36" s="14"/>
      <c r="D36" s="14"/>
      <c r="E36" s="14"/>
      <c r="F36" s="41">
        <f t="shared" ref="F36:K36" si="4">SUM(F24:F35)</f>
        <v>2460923.9699999997</v>
      </c>
      <c r="G36" s="41">
        <f t="shared" si="4"/>
        <v>6406671</v>
      </c>
      <c r="H36" s="44">
        <f t="shared" si="4"/>
        <v>6786573</v>
      </c>
      <c r="I36" s="44">
        <f t="shared" si="4"/>
        <v>7587911</v>
      </c>
      <c r="J36" s="44">
        <f t="shared" si="4"/>
        <v>8283199</v>
      </c>
      <c r="K36" s="44">
        <f t="shared" si="4"/>
        <v>8839607</v>
      </c>
      <c r="L36" s="96">
        <f t="shared" ref="L36:Q36" si="5">SUM(L24:L35)</f>
        <v>9424220</v>
      </c>
      <c r="M36" s="96">
        <f t="shared" si="5"/>
        <v>9172661</v>
      </c>
      <c r="N36" s="96">
        <f t="shared" si="5"/>
        <v>8489846</v>
      </c>
      <c r="O36" s="96">
        <f t="shared" si="5"/>
        <v>7623214</v>
      </c>
      <c r="P36" s="96">
        <f t="shared" si="5"/>
        <v>269214</v>
      </c>
      <c r="Q36" s="96">
        <f t="shared" si="5"/>
        <v>4569282</v>
      </c>
      <c r="R36" s="126">
        <f t="shared" ref="R36:S36" si="6">SUM(R24:R35)</f>
        <v>-52392</v>
      </c>
      <c r="S36" s="126">
        <f t="shared" si="6"/>
        <v>-15505</v>
      </c>
      <c r="T36" s="126">
        <f t="shared" ref="T36:U36" si="7">SUM(T24:T35)</f>
        <v>-4627967</v>
      </c>
      <c r="U36" s="126">
        <f t="shared" si="7"/>
        <v>-322294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>
        <v>-28743</v>
      </c>
      <c r="H42" s="54">
        <v>-164017</v>
      </c>
      <c r="I42" s="54">
        <v>-15833</v>
      </c>
      <c r="J42" s="2">
        <v>-188012</v>
      </c>
      <c r="K42" s="2">
        <v>-205695</v>
      </c>
      <c r="L42" s="54">
        <v>-167281</v>
      </c>
      <c r="M42" s="117">
        <v>-448552</v>
      </c>
      <c r="N42" s="117">
        <v>-362098</v>
      </c>
      <c r="O42" s="117">
        <v>-73054</v>
      </c>
      <c r="P42" s="117">
        <v>-138599</v>
      </c>
      <c r="Q42" s="117">
        <v>-1047503</v>
      </c>
      <c r="R42" s="1">
        <v>-45959</v>
      </c>
      <c r="S42" s="1">
        <v>-332</v>
      </c>
      <c r="T42" s="1">
        <v>-86355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>
        <v>-30082</v>
      </c>
      <c r="H43" s="54">
        <v>-178512</v>
      </c>
      <c r="I43" s="54">
        <v>-902139</v>
      </c>
      <c r="J43" s="2">
        <v>-512605</v>
      </c>
      <c r="K43" s="2">
        <v>-175818</v>
      </c>
      <c r="L43" s="54">
        <v>-641366</v>
      </c>
      <c r="M43" s="117">
        <v>-723738</v>
      </c>
      <c r="N43" s="117">
        <v>-744127</v>
      </c>
      <c r="O43" s="117">
        <v>-187401</v>
      </c>
      <c r="P43" s="117">
        <v>-369380</v>
      </c>
      <c r="Q43" s="117">
        <v>-125071</v>
      </c>
      <c r="R43" s="1">
        <v>-707817</v>
      </c>
      <c r="S43" s="1">
        <v>-85025</v>
      </c>
      <c r="T43" s="1">
        <v>848</v>
      </c>
      <c r="U43" s="1">
        <v>-40457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>
        <v>-131815</v>
      </c>
      <c r="H44" s="54">
        <v>-99772</v>
      </c>
      <c r="I44" s="54">
        <v>-241987</v>
      </c>
      <c r="J44" s="2">
        <v>-290547</v>
      </c>
      <c r="K44" s="2">
        <v>-144676</v>
      </c>
      <c r="L44" s="54">
        <v>-145406</v>
      </c>
      <c r="M44" s="117">
        <v>-488272</v>
      </c>
      <c r="N44" s="117">
        <v>-422264</v>
      </c>
      <c r="O44" s="117">
        <v>-527267</v>
      </c>
      <c r="P44" s="117">
        <v>-570965</v>
      </c>
      <c r="Q44" s="117">
        <v>-134058</v>
      </c>
      <c r="R44" s="1">
        <v>-246802</v>
      </c>
      <c r="S44" s="1">
        <v>-225592</v>
      </c>
      <c r="T44" s="1">
        <v>-42899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>
        <v>-62385</v>
      </c>
      <c r="H45" s="54">
        <v>-68750</v>
      </c>
      <c r="I45" s="54">
        <v>-173650</v>
      </c>
      <c r="J45" s="2">
        <v>-66712</v>
      </c>
      <c r="K45" s="2">
        <v>-147796</v>
      </c>
      <c r="L45" s="54">
        <v>-238626</v>
      </c>
      <c r="M45" s="117">
        <v>-194128</v>
      </c>
      <c r="N45" s="117">
        <v>-248359</v>
      </c>
      <c r="O45" s="117">
        <v>-81610</v>
      </c>
      <c r="P45" s="117">
        <v>-465382</v>
      </c>
      <c r="Q45" s="117">
        <v>-196001</v>
      </c>
      <c r="R45" s="1">
        <v>-32434</v>
      </c>
      <c r="S45" s="1">
        <v>-3028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>
        <v>-130737</v>
      </c>
      <c r="H46" s="54">
        <v>-210568</v>
      </c>
      <c r="I46" s="54">
        <v>-141649</v>
      </c>
      <c r="J46" s="2">
        <v>-120226</v>
      </c>
      <c r="K46" s="2">
        <v>-507305</v>
      </c>
      <c r="L46" s="54">
        <v>-174361</v>
      </c>
      <c r="M46" s="117">
        <v>-138004</v>
      </c>
      <c r="N46" s="117">
        <v>-98238</v>
      </c>
      <c r="O46" s="117">
        <v>-272912</v>
      </c>
      <c r="P46" s="117">
        <v>-488334</v>
      </c>
      <c r="Q46" s="117">
        <v>-38169</v>
      </c>
      <c r="R46" s="1">
        <v>-49283</v>
      </c>
      <c r="S46" s="1">
        <v>-493434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>
        <v>-56728</v>
      </c>
      <c r="H47" s="54">
        <v>-42488</v>
      </c>
      <c r="I47" s="54">
        <v>-179413</v>
      </c>
      <c r="J47" s="2">
        <v>-118922</v>
      </c>
      <c r="K47" s="2">
        <v>-201216</v>
      </c>
      <c r="L47" s="54">
        <v>-162452</v>
      </c>
      <c r="M47" s="117">
        <v>-631153</v>
      </c>
      <c r="N47" s="117">
        <v>-371470</v>
      </c>
      <c r="O47" s="117">
        <v>-752298</v>
      </c>
      <c r="P47" s="117">
        <v>-251184</v>
      </c>
      <c r="Q47" s="117">
        <v>-53825</v>
      </c>
      <c r="R47" s="1">
        <v>-154808</v>
      </c>
      <c r="S47" s="1">
        <v>-207977</v>
      </c>
      <c r="T47" s="1">
        <v>-352682</v>
      </c>
      <c r="U47" s="1">
        <v>-433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>
        <v>-48991</v>
      </c>
      <c r="H48" s="54">
        <v>-6450</v>
      </c>
      <c r="I48" s="54">
        <v>-159517</v>
      </c>
      <c r="J48" s="2">
        <v>-239374</v>
      </c>
      <c r="K48" s="2">
        <v>-260308</v>
      </c>
      <c r="L48" s="54">
        <v>-121644</v>
      </c>
      <c r="M48" s="117">
        <v>-195806</v>
      </c>
      <c r="N48" s="117">
        <v>-277965</v>
      </c>
      <c r="O48" s="117">
        <v>-379952</v>
      </c>
      <c r="P48" s="117">
        <v>-114621</v>
      </c>
      <c r="Q48" s="117">
        <v>-166527</v>
      </c>
      <c r="R48" s="1">
        <v>-246019</v>
      </c>
      <c r="S48" s="117">
        <v>-788</v>
      </c>
      <c r="T48" s="1">
        <v>-342</v>
      </c>
      <c r="U48" s="117">
        <v>-362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>
        <v>-156110</v>
      </c>
      <c r="H49" s="54">
        <v>-29783</v>
      </c>
      <c r="I49" s="54">
        <v>-189975</v>
      </c>
      <c r="J49" s="2">
        <v>-227222</v>
      </c>
      <c r="K49" s="2">
        <v>-237483</v>
      </c>
      <c r="L49" s="54">
        <v>-171707</v>
      </c>
      <c r="M49" s="117">
        <v>-254189</v>
      </c>
      <c r="N49" s="117">
        <v>-512756</v>
      </c>
      <c r="O49" s="117">
        <v>-115963</v>
      </c>
      <c r="P49" s="117">
        <v>-259132</v>
      </c>
      <c r="Q49" s="117">
        <v>-15954</v>
      </c>
      <c r="R49" s="1">
        <v>-68198</v>
      </c>
      <c r="S49" s="117">
        <v>602</v>
      </c>
      <c r="T49" s="1">
        <v>0</v>
      </c>
      <c r="U49" s="117">
        <v>-41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>
        <v>-56376</v>
      </c>
      <c r="H50" s="54">
        <v>-13304</v>
      </c>
      <c r="I50" s="54">
        <v>-212802</v>
      </c>
      <c r="J50" s="2">
        <v>-436620</v>
      </c>
      <c r="K50" s="2">
        <v>-128592</v>
      </c>
      <c r="L50" s="54">
        <v>-98063</v>
      </c>
      <c r="M50" s="117">
        <v>-940683</v>
      </c>
      <c r="N50" s="117">
        <v>-159717</v>
      </c>
      <c r="O50" s="117">
        <v>-564607</v>
      </c>
      <c r="P50" s="117">
        <v>-443574</v>
      </c>
      <c r="Q50" s="117">
        <v>-6154</v>
      </c>
      <c r="R50" s="117">
        <v>-13443</v>
      </c>
      <c r="S50" s="1">
        <v>-530</v>
      </c>
      <c r="T50" s="1">
        <v>-300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>
        <v>-126721</v>
      </c>
      <c r="H51" s="54">
        <v>-10219</v>
      </c>
      <c r="I51" s="54">
        <v>-244387</v>
      </c>
      <c r="J51" s="2">
        <v>-193253</v>
      </c>
      <c r="K51" s="2">
        <v>-520475</v>
      </c>
      <c r="L51" s="54">
        <v>-490910</v>
      </c>
      <c r="M51" s="117">
        <v>-91688</v>
      </c>
      <c r="N51" s="117">
        <v>-187946</v>
      </c>
      <c r="O51" s="117">
        <v>-272689</v>
      </c>
      <c r="P51" s="117">
        <v>-130230</v>
      </c>
      <c r="Q51" s="117">
        <v>-128022</v>
      </c>
      <c r="R51" s="1">
        <v>-10463</v>
      </c>
      <c r="S51" s="1">
        <v>-18256</v>
      </c>
      <c r="T51" s="1">
        <v>-258527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>
        <v>-40069</v>
      </c>
      <c r="H52" s="54">
        <v>-491543</v>
      </c>
      <c r="I52" s="54">
        <v>-305825</v>
      </c>
      <c r="J52" s="2">
        <v>-239545</v>
      </c>
      <c r="K52" s="2">
        <v>-308002</v>
      </c>
      <c r="L52" s="54">
        <v>-257069</v>
      </c>
      <c r="M52" s="117">
        <v>-171270</v>
      </c>
      <c r="N52" s="117">
        <v>-88384</v>
      </c>
      <c r="O52" s="117">
        <v>-242525</v>
      </c>
      <c r="P52" s="117">
        <v>-202514</v>
      </c>
      <c r="Q52" s="117">
        <v>-573122</v>
      </c>
      <c r="R52" s="1">
        <v>-309387</v>
      </c>
      <c r="S52" s="1">
        <v>-16854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>
        <v>-8254</v>
      </c>
      <c r="G53" s="61">
        <v>-42119</v>
      </c>
      <c r="H53" s="61">
        <v>-29386</v>
      </c>
      <c r="I53" s="61">
        <v>-268375</v>
      </c>
      <c r="J53" s="40">
        <v>-146228</v>
      </c>
      <c r="K53" s="40">
        <v>-289329</v>
      </c>
      <c r="L53" s="40">
        <v>-846999</v>
      </c>
      <c r="M53" s="95">
        <v>-292323</v>
      </c>
      <c r="N53" s="95">
        <v>-185277</v>
      </c>
      <c r="O53" s="95">
        <v>-100525</v>
      </c>
      <c r="P53" s="95">
        <v>-38660</v>
      </c>
      <c r="Q53" s="95">
        <v>-7528</v>
      </c>
      <c r="R53" s="1">
        <v>-9430</v>
      </c>
      <c r="S53" s="1">
        <v>-22845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>
        <f t="shared" ref="F54:L54" si="8">SUM(F42:F53)</f>
        <v>-8254</v>
      </c>
      <c r="G54" s="41">
        <f t="shared" si="8"/>
        <v>-910876</v>
      </c>
      <c r="H54" s="54">
        <f t="shared" si="8"/>
        <v>-1344792</v>
      </c>
      <c r="I54" s="54">
        <f t="shared" si="8"/>
        <v>-3035552</v>
      </c>
      <c r="J54" s="41">
        <f t="shared" si="8"/>
        <v>-2779266</v>
      </c>
      <c r="K54" s="41">
        <f t="shared" si="8"/>
        <v>-3126695</v>
      </c>
      <c r="L54" s="41">
        <f t="shared" si="8"/>
        <v>-3515884</v>
      </c>
      <c r="M54" s="96">
        <f t="shared" ref="M54:Q54" si="9">SUM(M42:M53)</f>
        <v>-4569806</v>
      </c>
      <c r="N54" s="96">
        <f t="shared" si="9"/>
        <v>-3658601</v>
      </c>
      <c r="O54" s="96">
        <f t="shared" si="9"/>
        <v>-3570803</v>
      </c>
      <c r="P54" s="96">
        <f t="shared" si="9"/>
        <v>-3472575</v>
      </c>
      <c r="Q54" s="96">
        <f t="shared" si="9"/>
        <v>-2491934</v>
      </c>
      <c r="R54" s="126">
        <f t="shared" ref="R54:S54" si="10">SUM(R42:R53)</f>
        <v>-1894043</v>
      </c>
      <c r="S54" s="126">
        <f t="shared" si="10"/>
        <v>-1074059</v>
      </c>
      <c r="T54" s="126">
        <f t="shared" ref="T54:U54" si="11">SUM(T42:T53)</f>
        <v>-740257</v>
      </c>
      <c r="U54" s="126">
        <f t="shared" si="11"/>
        <v>-41293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320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>
        <v>414620</v>
      </c>
      <c r="H60" s="2">
        <v>530620</v>
      </c>
      <c r="I60" s="2">
        <v>694800</v>
      </c>
      <c r="J60" s="2">
        <v>492562</v>
      </c>
      <c r="K60" s="2">
        <v>-1144660</v>
      </c>
      <c r="L60" s="113">
        <v>-1290860</v>
      </c>
      <c r="M60" s="117">
        <v>-23020</v>
      </c>
      <c r="N60" s="117">
        <v>534900</v>
      </c>
      <c r="O60" s="117">
        <v>595900</v>
      </c>
      <c r="P60" s="117">
        <v>18480</v>
      </c>
      <c r="Q60" s="117">
        <v>17240</v>
      </c>
      <c r="R60" s="1">
        <v>-57020</v>
      </c>
      <c r="S60" s="117">
        <v>0</v>
      </c>
      <c r="T60" s="1">
        <v>-40</v>
      </c>
      <c r="U60" s="117">
        <v>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>
        <v>326160</v>
      </c>
      <c r="H61" s="2">
        <v>326880</v>
      </c>
      <c r="I61" s="2">
        <v>385480</v>
      </c>
      <c r="J61" s="2">
        <v>333060</v>
      </c>
      <c r="K61" s="2">
        <v>2024900</v>
      </c>
      <c r="L61" s="113">
        <v>421000</v>
      </c>
      <c r="M61" s="117">
        <v>505320</v>
      </c>
      <c r="N61" s="117">
        <v>464760</v>
      </c>
      <c r="O61" s="117">
        <v>483300</v>
      </c>
      <c r="P61" s="117">
        <v>9700</v>
      </c>
      <c r="Q61" s="117">
        <v>17160</v>
      </c>
      <c r="R61" s="1">
        <v>-800</v>
      </c>
      <c r="S61" s="117">
        <v>80</v>
      </c>
      <c r="T61" s="1">
        <v>1040</v>
      </c>
      <c r="U61" s="117">
        <v>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>
        <v>321040</v>
      </c>
      <c r="H62" s="2">
        <v>271040</v>
      </c>
      <c r="I62" s="2">
        <v>347560</v>
      </c>
      <c r="J62" s="2">
        <v>377920</v>
      </c>
      <c r="K62" s="2">
        <v>375000</v>
      </c>
      <c r="L62" s="113">
        <v>2211660</v>
      </c>
      <c r="M62" s="117">
        <v>439713</v>
      </c>
      <c r="N62" s="117">
        <v>607540</v>
      </c>
      <c r="O62" s="117">
        <v>484503</v>
      </c>
      <c r="P62" s="117">
        <v>6180</v>
      </c>
      <c r="Q62" s="117">
        <v>-58480</v>
      </c>
      <c r="R62" s="1">
        <v>-58260</v>
      </c>
      <c r="S62" s="117">
        <v>0</v>
      </c>
      <c r="T62" s="1">
        <v>0</v>
      </c>
      <c r="U62" s="117">
        <v>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>
        <v>390380</v>
      </c>
      <c r="H63" s="2">
        <v>445080</v>
      </c>
      <c r="I63" s="2">
        <v>527320</v>
      </c>
      <c r="J63" s="2">
        <v>561620</v>
      </c>
      <c r="K63" s="2">
        <v>524620</v>
      </c>
      <c r="L63" s="113">
        <v>616500</v>
      </c>
      <c r="M63" s="117">
        <v>603867</v>
      </c>
      <c r="N63" s="117">
        <v>569329</v>
      </c>
      <c r="O63" s="117">
        <v>621300</v>
      </c>
      <c r="P63" s="117">
        <v>6180</v>
      </c>
      <c r="Q63" s="117">
        <v>60</v>
      </c>
      <c r="R63" s="1">
        <v>2700</v>
      </c>
      <c r="S63" s="117">
        <v>0</v>
      </c>
      <c r="T63" s="1">
        <v>0</v>
      </c>
      <c r="U63" s="117">
        <v>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>
        <v>357300</v>
      </c>
      <c r="H64" s="2">
        <v>369940</v>
      </c>
      <c r="I64" s="2">
        <v>446760</v>
      </c>
      <c r="J64" s="2">
        <v>421500</v>
      </c>
      <c r="K64" s="2">
        <v>471540</v>
      </c>
      <c r="L64" s="116">
        <v>509240</v>
      </c>
      <c r="M64" s="117">
        <v>521293</v>
      </c>
      <c r="N64" s="117">
        <v>534940</v>
      </c>
      <c r="O64" s="117">
        <v>550080</v>
      </c>
      <c r="P64" s="117">
        <v>32339</v>
      </c>
      <c r="Q64" s="117">
        <v>80</v>
      </c>
      <c r="R64" s="117">
        <v>300</v>
      </c>
      <c r="S64" s="117">
        <v>0</v>
      </c>
      <c r="T64" s="1">
        <v>0</v>
      </c>
      <c r="U64" s="117">
        <v>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>
        <v>348720</v>
      </c>
      <c r="H65" s="2">
        <v>361340</v>
      </c>
      <c r="I65" s="2">
        <v>444800</v>
      </c>
      <c r="J65" s="2">
        <v>466640</v>
      </c>
      <c r="K65" s="2">
        <v>779720</v>
      </c>
      <c r="L65" s="113">
        <v>588220</v>
      </c>
      <c r="M65" s="117">
        <v>539940</v>
      </c>
      <c r="N65" s="117">
        <v>556580</v>
      </c>
      <c r="O65" s="117">
        <v>583960</v>
      </c>
      <c r="P65" s="117">
        <v>20600</v>
      </c>
      <c r="Q65" s="117">
        <v>3280</v>
      </c>
      <c r="R65" s="1">
        <v>140</v>
      </c>
      <c r="S65" s="117">
        <v>0</v>
      </c>
      <c r="T65" s="1">
        <v>0</v>
      </c>
      <c r="U65" s="117">
        <v>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>
        <v>365240</v>
      </c>
      <c r="H66" s="2">
        <v>369720</v>
      </c>
      <c r="I66" s="2">
        <v>440740</v>
      </c>
      <c r="J66" s="2">
        <v>419560</v>
      </c>
      <c r="K66" s="2">
        <v>557340</v>
      </c>
      <c r="L66" s="113">
        <v>475860</v>
      </c>
      <c r="M66" s="117">
        <v>1100400</v>
      </c>
      <c r="N66" s="117">
        <v>553120</v>
      </c>
      <c r="O66" s="117">
        <v>559360</v>
      </c>
      <c r="P66" s="117">
        <v>36240</v>
      </c>
      <c r="Q66" s="117">
        <v>0</v>
      </c>
      <c r="R66" s="1">
        <v>6000</v>
      </c>
      <c r="S66" s="1">
        <v>4840</v>
      </c>
      <c r="T66" s="1">
        <v>0</v>
      </c>
      <c r="U66" s="1">
        <v>0</v>
      </c>
    </row>
    <row r="67" spans="1:21" x14ac:dyDescent="0.2">
      <c r="A67" s="26" t="s">
        <v>7</v>
      </c>
      <c r="B67" s="21"/>
      <c r="C67" s="22"/>
      <c r="D67" s="12"/>
      <c r="E67" s="12"/>
      <c r="F67" s="2">
        <v>361520</v>
      </c>
      <c r="G67" s="47">
        <v>450340</v>
      </c>
      <c r="H67" s="2">
        <v>413680</v>
      </c>
      <c r="I67" s="2">
        <v>465760</v>
      </c>
      <c r="J67" s="2">
        <v>533300</v>
      </c>
      <c r="K67" s="2">
        <v>594360</v>
      </c>
      <c r="L67" s="113">
        <v>596400</v>
      </c>
      <c r="M67" s="117">
        <v>597900</v>
      </c>
      <c r="N67" s="117">
        <v>601400</v>
      </c>
      <c r="O67" s="117">
        <v>622604</v>
      </c>
      <c r="P67" s="117">
        <v>2600</v>
      </c>
      <c r="Q67" s="117">
        <v>0</v>
      </c>
      <c r="R67" s="117">
        <v>0</v>
      </c>
      <c r="S67" s="117">
        <v>40</v>
      </c>
      <c r="T67" s="1">
        <v>0</v>
      </c>
      <c r="U67" s="117">
        <v>-1000</v>
      </c>
    </row>
    <row r="68" spans="1:21" x14ac:dyDescent="0.2">
      <c r="A68" s="26" t="s">
        <v>8</v>
      </c>
      <c r="B68" s="21"/>
      <c r="C68" s="22"/>
      <c r="D68" s="12"/>
      <c r="E68" s="12"/>
      <c r="F68" s="2">
        <f>382340+1880+2800+900</f>
        <v>387920</v>
      </c>
      <c r="G68" s="42">
        <v>436700</v>
      </c>
      <c r="H68" s="2">
        <v>363680</v>
      </c>
      <c r="I68" s="2">
        <v>452540</v>
      </c>
      <c r="J68" s="2">
        <v>461860</v>
      </c>
      <c r="K68" s="2">
        <v>580693</v>
      </c>
      <c r="L68" s="113">
        <v>543020</v>
      </c>
      <c r="M68" s="117">
        <v>583558</v>
      </c>
      <c r="N68" s="117">
        <v>627220</v>
      </c>
      <c r="O68" s="117">
        <v>579820</v>
      </c>
      <c r="P68" s="117">
        <v>1560</v>
      </c>
      <c r="Q68" s="117">
        <v>1000</v>
      </c>
      <c r="R68" s="117">
        <v>3820</v>
      </c>
      <c r="S68" s="1">
        <v>24140</v>
      </c>
      <c r="T68" s="1">
        <v>0</v>
      </c>
      <c r="U68" s="1">
        <v>0</v>
      </c>
    </row>
    <row r="69" spans="1:21" x14ac:dyDescent="0.2">
      <c r="A69" s="26" t="s">
        <v>9</v>
      </c>
      <c r="B69" s="21"/>
      <c r="C69" s="22"/>
      <c r="D69" s="12"/>
      <c r="E69" s="12"/>
      <c r="F69" s="2">
        <f>174160+28860</f>
        <v>203020</v>
      </c>
      <c r="G69" s="42">
        <v>364300</v>
      </c>
      <c r="H69" s="2">
        <v>395180</v>
      </c>
      <c r="I69" s="2">
        <v>479400</v>
      </c>
      <c r="J69" s="2">
        <v>498660</v>
      </c>
      <c r="K69" s="2">
        <v>525681</v>
      </c>
      <c r="L69" s="113">
        <v>659710</v>
      </c>
      <c r="M69" s="117">
        <v>602060</v>
      </c>
      <c r="N69" s="117">
        <v>596400</v>
      </c>
      <c r="O69" s="117">
        <v>607080</v>
      </c>
      <c r="P69" s="117">
        <v>680</v>
      </c>
      <c r="Q69" s="117">
        <v>2520</v>
      </c>
      <c r="R69" s="117">
        <v>0</v>
      </c>
      <c r="S69" s="117">
        <v>0</v>
      </c>
      <c r="T69" s="1">
        <v>0</v>
      </c>
      <c r="U69" s="117">
        <v>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>
        <v>283840</v>
      </c>
      <c r="H70" s="2">
        <v>343900</v>
      </c>
      <c r="I70" s="2">
        <v>410880</v>
      </c>
      <c r="J70" s="2">
        <v>417960</v>
      </c>
      <c r="K70" s="2">
        <v>469249</v>
      </c>
      <c r="L70" s="113">
        <v>522263</v>
      </c>
      <c r="M70" s="117">
        <v>529490</v>
      </c>
      <c r="N70" s="117">
        <v>516252</v>
      </c>
      <c r="O70" s="117">
        <v>10400</v>
      </c>
      <c r="P70" s="117">
        <v>320</v>
      </c>
      <c r="Q70" s="117">
        <v>60220</v>
      </c>
      <c r="R70" s="1">
        <v>3160</v>
      </c>
      <c r="S70" s="117">
        <v>0</v>
      </c>
      <c r="T70" s="1">
        <v>0</v>
      </c>
      <c r="U70" s="117">
        <v>0</v>
      </c>
    </row>
    <row r="71" spans="1:21" x14ac:dyDescent="0.2">
      <c r="A71" s="26" t="s">
        <v>11</v>
      </c>
      <c r="B71" s="8"/>
      <c r="C71" s="23"/>
      <c r="D71" s="23"/>
      <c r="E71" s="23"/>
      <c r="F71" s="37">
        <v>525200</v>
      </c>
      <c r="G71" s="48">
        <v>255920</v>
      </c>
      <c r="H71" s="40">
        <v>309000</v>
      </c>
      <c r="I71" s="40">
        <v>381900</v>
      </c>
      <c r="J71" s="40">
        <v>383280</v>
      </c>
      <c r="K71" s="40">
        <v>450240</v>
      </c>
      <c r="L71" s="40">
        <v>520859</v>
      </c>
      <c r="M71" s="95">
        <v>457140</v>
      </c>
      <c r="N71" s="95">
        <v>498640</v>
      </c>
      <c r="O71" s="95">
        <v>7740</v>
      </c>
      <c r="P71" s="95">
        <v>2063</v>
      </c>
      <c r="Q71" s="95">
        <v>-58360</v>
      </c>
      <c r="R71" s="1">
        <v>0</v>
      </c>
      <c r="S71" s="1">
        <v>0</v>
      </c>
      <c r="T71" s="1">
        <v>0</v>
      </c>
      <c r="U71" s="1">
        <v>0</v>
      </c>
    </row>
    <row r="72" spans="1:21" x14ac:dyDescent="0.2">
      <c r="A72" s="25"/>
      <c r="B72" s="4"/>
      <c r="C72" s="14"/>
      <c r="D72" s="14"/>
      <c r="E72" s="14"/>
      <c r="F72" s="41">
        <f t="shared" ref="F72:L72" si="12">SUM(F60:F71)</f>
        <v>1477660</v>
      </c>
      <c r="G72" s="41">
        <f t="shared" si="12"/>
        <v>4314560</v>
      </c>
      <c r="H72" s="44">
        <f t="shared" si="12"/>
        <v>4500060</v>
      </c>
      <c r="I72" s="44">
        <f t="shared" si="12"/>
        <v>5477940</v>
      </c>
      <c r="J72" s="44">
        <f t="shared" si="12"/>
        <v>5367922</v>
      </c>
      <c r="K72" s="44">
        <f t="shared" si="12"/>
        <v>6208683</v>
      </c>
      <c r="L72" s="41">
        <f t="shared" si="12"/>
        <v>6373872</v>
      </c>
      <c r="M72" s="96">
        <f t="shared" ref="M72:Q72" si="13">SUM(M60:M71)</f>
        <v>6457661</v>
      </c>
      <c r="N72" s="96">
        <f t="shared" si="13"/>
        <v>6661081</v>
      </c>
      <c r="O72" s="96">
        <f t="shared" si="13"/>
        <v>5706047</v>
      </c>
      <c r="P72" s="96">
        <f t="shared" si="13"/>
        <v>136942</v>
      </c>
      <c r="Q72" s="96">
        <f t="shared" si="13"/>
        <v>-15280</v>
      </c>
      <c r="R72" s="126">
        <f t="shared" ref="R72:S72" si="14">SUM(R60:R71)</f>
        <v>-99960</v>
      </c>
      <c r="S72" s="126">
        <f t="shared" si="14"/>
        <v>29100</v>
      </c>
      <c r="T72" s="126">
        <f t="shared" ref="T72:U72" si="15">SUM(T60:T71)</f>
        <v>1000</v>
      </c>
      <c r="U72" s="126">
        <f t="shared" si="15"/>
        <v>-1000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2:U71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7.85546875" customWidth="1"/>
    <col min="7" max="8" width="8.5703125" bestFit="1" customWidth="1"/>
    <col min="9" max="11" width="8.85546875" bestFit="1" customWidth="1"/>
    <col min="12" max="12" width="9.140625" bestFit="1" customWidth="1"/>
    <col min="13" max="13" width="9.85546875" bestFit="1" customWidth="1"/>
    <col min="14" max="20" width="9.28515625" bestFit="1" customWidth="1"/>
  </cols>
  <sheetData>
    <row r="2" spans="1:21" x14ac:dyDescent="0.2">
      <c r="A2" s="24" t="s">
        <v>82</v>
      </c>
      <c r="B2" s="148">
        <v>5.0000000000000001E-3</v>
      </c>
      <c r="D2" s="94" t="s">
        <v>200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12"/>
      <c r="F5" s="22"/>
      <c r="G5" s="1">
        <v>35878</v>
      </c>
      <c r="H5" s="2">
        <v>35854</v>
      </c>
      <c r="I5" s="2">
        <v>37603</v>
      </c>
      <c r="J5" s="2">
        <v>36175</v>
      </c>
      <c r="K5" s="2">
        <v>42418</v>
      </c>
      <c r="L5" s="102">
        <v>53902</v>
      </c>
      <c r="M5" s="117">
        <v>54754</v>
      </c>
      <c r="N5" s="117">
        <v>51447</v>
      </c>
      <c r="O5" s="117">
        <v>55072</v>
      </c>
      <c r="P5" s="117">
        <v>54584</v>
      </c>
      <c r="Q5" s="117">
        <v>62536</v>
      </c>
      <c r="R5" s="1">
        <v>59933</v>
      </c>
      <c r="S5" s="1">
        <v>67457</v>
      </c>
      <c r="T5" s="1">
        <v>72800</v>
      </c>
      <c r="U5" s="1">
        <v>81477</v>
      </c>
    </row>
    <row r="6" spans="1:21" x14ac:dyDescent="0.2">
      <c r="A6" s="26" t="s">
        <v>1</v>
      </c>
      <c r="B6" s="22"/>
      <c r="C6" s="22"/>
      <c r="D6" s="12"/>
      <c r="E6" s="12"/>
      <c r="F6" s="12"/>
      <c r="G6" s="1">
        <v>24870</v>
      </c>
      <c r="H6" s="2">
        <v>29379</v>
      </c>
      <c r="I6" s="2">
        <v>32093</v>
      </c>
      <c r="J6" s="2">
        <v>32756</v>
      </c>
      <c r="K6" s="2">
        <v>43111</v>
      </c>
      <c r="L6" s="102">
        <v>40770</v>
      </c>
      <c r="M6" s="117">
        <v>46026</v>
      </c>
      <c r="N6" s="117">
        <v>43836</v>
      </c>
      <c r="O6" s="117">
        <v>40751</v>
      </c>
      <c r="P6" s="117">
        <v>40984</v>
      </c>
      <c r="Q6" s="117">
        <v>49635</v>
      </c>
      <c r="R6" s="1">
        <v>53466</v>
      </c>
      <c r="S6" s="1">
        <v>51784</v>
      </c>
      <c r="T6" s="1">
        <v>63384</v>
      </c>
      <c r="U6" s="1">
        <v>67905</v>
      </c>
    </row>
    <row r="7" spans="1:21" x14ac:dyDescent="0.2">
      <c r="A7" s="26" t="s">
        <v>2</v>
      </c>
      <c r="B7" s="22"/>
      <c r="C7" s="22"/>
      <c r="D7" s="12"/>
      <c r="E7" s="12"/>
      <c r="F7" s="12"/>
      <c r="G7" s="1">
        <v>23884</v>
      </c>
      <c r="H7" s="2">
        <v>28833</v>
      </c>
      <c r="I7" s="2">
        <v>30790</v>
      </c>
      <c r="J7" s="2">
        <v>32216</v>
      </c>
      <c r="K7" s="2">
        <v>36202</v>
      </c>
      <c r="L7" s="106">
        <v>38462</v>
      </c>
      <c r="M7" s="117">
        <v>40863</v>
      </c>
      <c r="N7" s="117">
        <v>44861</v>
      </c>
      <c r="O7" s="117">
        <v>40473</v>
      </c>
      <c r="P7" s="117">
        <v>42397</v>
      </c>
      <c r="Q7" s="117">
        <v>44226</v>
      </c>
      <c r="R7" s="1">
        <v>47399</v>
      </c>
      <c r="S7" s="1">
        <v>52259</v>
      </c>
      <c r="T7" s="1">
        <v>58532</v>
      </c>
      <c r="U7" s="1">
        <v>60196</v>
      </c>
    </row>
    <row r="8" spans="1:21" x14ac:dyDescent="0.2">
      <c r="A8" s="26" t="s">
        <v>3</v>
      </c>
      <c r="B8" s="22"/>
      <c r="C8" s="22"/>
      <c r="D8" s="12"/>
      <c r="E8" s="12"/>
      <c r="F8" s="12"/>
      <c r="G8" s="1">
        <v>27883</v>
      </c>
      <c r="H8" s="2">
        <v>32571</v>
      </c>
      <c r="I8" s="2">
        <v>32817</v>
      </c>
      <c r="J8" s="2">
        <v>42571</v>
      </c>
      <c r="K8" s="2">
        <v>40437</v>
      </c>
      <c r="L8" s="106">
        <v>43981</v>
      </c>
      <c r="M8" s="117">
        <v>49962</v>
      </c>
      <c r="N8" s="117">
        <v>48803</v>
      </c>
      <c r="O8" s="117">
        <v>46110</v>
      </c>
      <c r="P8" s="117">
        <v>48223</v>
      </c>
      <c r="Q8" s="117">
        <v>49627</v>
      </c>
      <c r="R8" s="1">
        <v>49728</v>
      </c>
      <c r="S8" s="1">
        <v>66649</v>
      </c>
      <c r="T8" s="1">
        <v>74662</v>
      </c>
      <c r="U8" s="1">
        <v>83070</v>
      </c>
    </row>
    <row r="9" spans="1:21" x14ac:dyDescent="0.2">
      <c r="A9" s="26" t="s">
        <v>4</v>
      </c>
      <c r="B9" s="22"/>
      <c r="C9" s="22"/>
      <c r="D9" s="12"/>
      <c r="E9" s="12"/>
      <c r="F9" s="12"/>
      <c r="G9" s="1">
        <v>26917</v>
      </c>
      <c r="H9" s="2">
        <v>30977</v>
      </c>
      <c r="I9" s="2">
        <v>34757</v>
      </c>
      <c r="J9" s="2">
        <v>37342</v>
      </c>
      <c r="K9" s="2">
        <v>42947</v>
      </c>
      <c r="L9" s="106">
        <v>43385</v>
      </c>
      <c r="M9" s="117">
        <v>66448</v>
      </c>
      <c r="N9" s="117">
        <v>48027</v>
      </c>
      <c r="O9" s="117">
        <v>46070</v>
      </c>
      <c r="P9" s="117">
        <v>46005</v>
      </c>
      <c r="Q9" s="117">
        <v>55997</v>
      </c>
      <c r="R9" s="1">
        <v>51623</v>
      </c>
      <c r="S9" s="1">
        <v>66819</v>
      </c>
      <c r="T9" s="1">
        <v>69317</v>
      </c>
      <c r="U9" s="1">
        <v>81352</v>
      </c>
    </row>
    <row r="10" spans="1:21" x14ac:dyDescent="0.2">
      <c r="A10" s="26" t="s">
        <v>5</v>
      </c>
      <c r="B10" s="22"/>
      <c r="C10" s="22"/>
      <c r="D10" s="12"/>
      <c r="E10" s="12"/>
      <c r="F10" s="12"/>
      <c r="G10" s="1">
        <v>26783</v>
      </c>
      <c r="H10" s="2">
        <v>31338</v>
      </c>
      <c r="I10" s="2">
        <v>36999</v>
      </c>
      <c r="J10" s="2">
        <v>45692</v>
      </c>
      <c r="K10" s="2">
        <v>46256</v>
      </c>
      <c r="L10" s="106">
        <v>44396</v>
      </c>
      <c r="M10" s="117">
        <v>49289</v>
      </c>
      <c r="N10" s="117">
        <v>52398</v>
      </c>
      <c r="O10" s="117">
        <v>50089</v>
      </c>
      <c r="P10" s="117">
        <v>55071</v>
      </c>
      <c r="Q10" s="117">
        <v>54593</v>
      </c>
      <c r="R10" s="1">
        <v>57436</v>
      </c>
      <c r="S10" s="1">
        <v>70274</v>
      </c>
      <c r="T10" s="1">
        <v>75331</v>
      </c>
      <c r="U10" s="1">
        <v>86373</v>
      </c>
    </row>
    <row r="11" spans="1:21" x14ac:dyDescent="0.2">
      <c r="A11" s="26" t="s">
        <v>6</v>
      </c>
      <c r="B11" s="22"/>
      <c r="C11" s="22"/>
      <c r="D11" s="12"/>
      <c r="E11" s="12"/>
      <c r="F11" s="12"/>
      <c r="G11" s="1">
        <v>24573</v>
      </c>
      <c r="H11" s="2">
        <v>30809</v>
      </c>
      <c r="I11" s="2">
        <v>30156</v>
      </c>
      <c r="J11" s="2">
        <v>37290</v>
      </c>
      <c r="K11" s="2">
        <v>38863</v>
      </c>
      <c r="L11" s="106">
        <v>45840</v>
      </c>
      <c r="M11" s="117">
        <v>41089</v>
      </c>
      <c r="N11" s="117">
        <v>49666</v>
      </c>
      <c r="O11" s="117">
        <v>51699</v>
      </c>
      <c r="P11" s="117">
        <v>51904</v>
      </c>
      <c r="Q11" s="117">
        <v>62464</v>
      </c>
      <c r="R11" s="1">
        <v>60932</v>
      </c>
      <c r="S11" s="1">
        <v>68981</v>
      </c>
      <c r="T11" s="1">
        <v>77581</v>
      </c>
      <c r="U11" s="1">
        <v>88351</v>
      </c>
    </row>
    <row r="12" spans="1:21" x14ac:dyDescent="0.2">
      <c r="A12" s="26" t="s">
        <v>7</v>
      </c>
      <c r="B12" s="22"/>
      <c r="C12" s="22"/>
      <c r="D12" s="12"/>
      <c r="E12" s="12"/>
      <c r="F12" s="12"/>
      <c r="G12" s="1">
        <v>37306</v>
      </c>
      <c r="H12" s="2">
        <v>39264</v>
      </c>
      <c r="I12" s="2">
        <v>44871</v>
      </c>
      <c r="J12" s="2">
        <v>53755</v>
      </c>
      <c r="K12" s="2">
        <v>50411</v>
      </c>
      <c r="L12" s="106">
        <v>54140</v>
      </c>
      <c r="M12" s="117">
        <v>65136</v>
      </c>
      <c r="N12" s="117">
        <v>63183</v>
      </c>
      <c r="O12" s="117">
        <v>53198</v>
      </c>
      <c r="P12" s="117">
        <v>60237</v>
      </c>
      <c r="Q12" s="117">
        <v>61298</v>
      </c>
      <c r="R12" s="1">
        <v>61660</v>
      </c>
      <c r="S12" s="1">
        <v>72526</v>
      </c>
      <c r="T12" s="1">
        <v>79805</v>
      </c>
      <c r="U12" s="1">
        <v>79168</v>
      </c>
    </row>
    <row r="13" spans="1:21" x14ac:dyDescent="0.2">
      <c r="A13" s="26" t="s">
        <v>8</v>
      </c>
      <c r="B13" s="22"/>
      <c r="C13" s="22"/>
      <c r="D13" s="12"/>
      <c r="E13" s="12"/>
      <c r="F13" s="12"/>
      <c r="G13" s="1">
        <v>30434</v>
      </c>
      <c r="H13" s="2">
        <v>39549</v>
      </c>
      <c r="I13" s="2">
        <v>47646</v>
      </c>
      <c r="J13" s="2">
        <v>46520</v>
      </c>
      <c r="K13" s="2">
        <v>45824</v>
      </c>
      <c r="L13" s="106">
        <v>49078</v>
      </c>
      <c r="M13" s="117">
        <v>53380</v>
      </c>
      <c r="N13" s="117">
        <v>53860</v>
      </c>
      <c r="O13" s="117">
        <v>48578</v>
      </c>
      <c r="P13" s="117">
        <v>54573</v>
      </c>
      <c r="Q13" s="117">
        <v>56611</v>
      </c>
      <c r="R13" s="2">
        <v>55950</v>
      </c>
      <c r="S13" s="1">
        <v>77560</v>
      </c>
      <c r="T13" s="1">
        <v>79443</v>
      </c>
      <c r="U13" s="1">
        <v>82498</v>
      </c>
    </row>
    <row r="14" spans="1:21" x14ac:dyDescent="0.2">
      <c r="A14" s="26" t="s">
        <v>9</v>
      </c>
      <c r="B14" s="30"/>
      <c r="C14" s="22"/>
      <c r="D14" s="12"/>
      <c r="E14" s="12"/>
      <c r="F14" s="2">
        <v>19</v>
      </c>
      <c r="G14" s="1">
        <v>37243</v>
      </c>
      <c r="H14" s="2">
        <v>39595</v>
      </c>
      <c r="I14" s="2">
        <v>45177</v>
      </c>
      <c r="J14" s="2">
        <v>46831</v>
      </c>
      <c r="K14" s="2">
        <v>47880</v>
      </c>
      <c r="L14" s="106">
        <v>50630</v>
      </c>
      <c r="M14" s="117">
        <v>58339</v>
      </c>
      <c r="N14" s="117">
        <v>53386</v>
      </c>
      <c r="O14" s="117">
        <v>52536</v>
      </c>
      <c r="P14" s="117">
        <v>53136</v>
      </c>
      <c r="Q14" s="117">
        <v>60480</v>
      </c>
      <c r="R14" s="1">
        <v>63391</v>
      </c>
      <c r="S14" s="1">
        <v>73594</v>
      </c>
      <c r="T14" s="1">
        <v>78265</v>
      </c>
      <c r="U14" s="1">
        <v>78727</v>
      </c>
    </row>
    <row r="15" spans="1:21" x14ac:dyDescent="0.2">
      <c r="A15" s="26" t="s">
        <v>10</v>
      </c>
      <c r="B15" s="22"/>
      <c r="C15" s="22"/>
      <c r="D15" s="12"/>
      <c r="E15" s="12"/>
      <c r="F15" s="2"/>
      <c r="G15" s="1">
        <v>34407</v>
      </c>
      <c r="H15" s="2">
        <v>38291</v>
      </c>
      <c r="I15" s="2">
        <v>39529</v>
      </c>
      <c r="J15" s="2">
        <v>47470</v>
      </c>
      <c r="K15" s="2">
        <v>47218</v>
      </c>
      <c r="L15" s="106">
        <v>54491</v>
      </c>
      <c r="M15" s="117">
        <v>54359</v>
      </c>
      <c r="N15" s="117">
        <v>50991</v>
      </c>
      <c r="O15" s="117">
        <v>53543</v>
      </c>
      <c r="P15" s="117">
        <v>60575</v>
      </c>
      <c r="Q15" s="117">
        <v>60518</v>
      </c>
      <c r="R15" s="1">
        <v>58674</v>
      </c>
      <c r="S15" s="1">
        <v>67764</v>
      </c>
      <c r="T15" s="1">
        <v>90011</v>
      </c>
      <c r="U15" s="1">
        <v>75440</v>
      </c>
    </row>
    <row r="16" spans="1:21" x14ac:dyDescent="0.2">
      <c r="A16" s="26" t="s">
        <v>11</v>
      </c>
      <c r="B16" s="23"/>
      <c r="C16" s="23"/>
      <c r="D16" s="23"/>
      <c r="E16" s="23"/>
      <c r="F16" s="37">
        <v>45734</v>
      </c>
      <c r="G16" s="39">
        <v>35479</v>
      </c>
      <c r="H16" s="40">
        <v>32409</v>
      </c>
      <c r="I16" s="40">
        <v>36502</v>
      </c>
      <c r="J16" s="40">
        <v>42527</v>
      </c>
      <c r="K16" s="40">
        <v>43092</v>
      </c>
      <c r="L16" s="95">
        <v>48472</v>
      </c>
      <c r="M16" s="95">
        <v>49199</v>
      </c>
      <c r="N16" s="95">
        <v>50880</v>
      </c>
      <c r="O16" s="95">
        <v>52722</v>
      </c>
      <c r="P16" s="95">
        <v>55594</v>
      </c>
      <c r="Q16" s="95">
        <v>53799</v>
      </c>
      <c r="R16" s="1">
        <v>59488</v>
      </c>
      <c r="S16" s="1">
        <v>62972</v>
      </c>
      <c r="T16" s="1">
        <v>72634</v>
      </c>
      <c r="U16" s="1">
        <v>75591</v>
      </c>
    </row>
    <row r="17" spans="1:21" x14ac:dyDescent="0.2">
      <c r="A17" s="25"/>
      <c r="B17" s="14"/>
      <c r="C17" s="14"/>
      <c r="D17" s="14"/>
      <c r="E17" s="14"/>
      <c r="F17" s="44">
        <f>SUM(F6:F16)</f>
        <v>45753</v>
      </c>
      <c r="G17" s="44">
        <f t="shared" ref="G17:L17" si="0">SUM(G5:G16)</f>
        <v>365657</v>
      </c>
      <c r="H17" s="44">
        <f t="shared" si="0"/>
        <v>408869</v>
      </c>
      <c r="I17" s="44">
        <f t="shared" si="0"/>
        <v>448940</v>
      </c>
      <c r="J17" s="44">
        <f t="shared" si="0"/>
        <v>501145</v>
      </c>
      <c r="K17" s="44">
        <f t="shared" si="0"/>
        <v>524659</v>
      </c>
      <c r="L17" s="96">
        <f t="shared" si="0"/>
        <v>567547</v>
      </c>
      <c r="M17" s="96">
        <f t="shared" ref="M17:Q17" si="1">SUM(M5:M16)</f>
        <v>628844</v>
      </c>
      <c r="N17" s="96">
        <f t="shared" si="1"/>
        <v>611338</v>
      </c>
      <c r="O17" s="96">
        <f t="shared" si="1"/>
        <v>590841</v>
      </c>
      <c r="P17" s="96">
        <f t="shared" si="1"/>
        <v>623283</v>
      </c>
      <c r="Q17" s="96">
        <f t="shared" si="1"/>
        <v>671784</v>
      </c>
      <c r="R17" s="126">
        <f t="shared" ref="R17:S17" si="2">SUM(R5:R16)</f>
        <v>679680</v>
      </c>
      <c r="S17" s="126">
        <f t="shared" si="2"/>
        <v>798639</v>
      </c>
      <c r="T17" s="126">
        <f t="shared" ref="T17:U17" si="3">SUM(T5:T16)</f>
        <v>891765</v>
      </c>
      <c r="U17" s="126">
        <f t="shared" si="3"/>
        <v>940148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83</v>
      </c>
      <c r="B21" s="148">
        <v>5.0000000000000001E-3</v>
      </c>
      <c r="D21" s="94" t="s">
        <v>200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G23" s="7"/>
      <c r="H23" s="2"/>
    </row>
    <row r="24" spans="1:21" x14ac:dyDescent="0.2">
      <c r="A24" s="26" t="s">
        <v>0</v>
      </c>
      <c r="B24" s="22"/>
      <c r="C24" s="22"/>
      <c r="D24" s="12"/>
      <c r="E24" s="12"/>
      <c r="F24" s="12"/>
      <c r="G24" s="1">
        <v>2294</v>
      </c>
      <c r="H24" s="2">
        <v>2053</v>
      </c>
      <c r="I24" s="2">
        <v>3011</v>
      </c>
      <c r="J24" s="2">
        <v>11381</v>
      </c>
      <c r="K24" s="2">
        <v>12609</v>
      </c>
      <c r="L24" s="102">
        <v>4372</v>
      </c>
      <c r="M24" s="117">
        <v>4739</v>
      </c>
      <c r="N24" s="117">
        <v>2713</v>
      </c>
      <c r="O24" s="117">
        <v>3715</v>
      </c>
      <c r="P24" s="117">
        <v>2932</v>
      </c>
      <c r="Q24" s="117">
        <v>3707</v>
      </c>
      <c r="R24" s="1">
        <v>3792</v>
      </c>
      <c r="S24" s="1">
        <v>3406</v>
      </c>
      <c r="T24" s="1">
        <v>3189</v>
      </c>
      <c r="U24" s="1">
        <v>2852</v>
      </c>
    </row>
    <row r="25" spans="1:21" x14ac:dyDescent="0.2">
      <c r="A25" s="26" t="s">
        <v>1</v>
      </c>
      <c r="B25" s="22"/>
      <c r="C25" s="22"/>
      <c r="D25" s="12"/>
      <c r="E25" s="12"/>
      <c r="F25" s="12"/>
      <c r="G25" s="1">
        <v>1554</v>
      </c>
      <c r="H25" s="2">
        <v>1481</v>
      </c>
      <c r="I25" s="2">
        <v>1801</v>
      </c>
      <c r="J25" s="2">
        <v>6353</v>
      </c>
      <c r="K25" s="2">
        <v>3858</v>
      </c>
      <c r="L25" s="102">
        <v>3682</v>
      </c>
      <c r="M25" s="117">
        <v>8153</v>
      </c>
      <c r="N25" s="117">
        <v>1490</v>
      </c>
      <c r="O25" s="117">
        <v>18599</v>
      </c>
      <c r="P25" s="117">
        <v>3035</v>
      </c>
      <c r="Q25" s="117">
        <v>2083</v>
      </c>
      <c r="R25" s="1">
        <v>4579</v>
      </c>
      <c r="S25" s="1">
        <v>2471</v>
      </c>
      <c r="T25" s="1">
        <v>2500</v>
      </c>
      <c r="U25" s="1">
        <v>2649</v>
      </c>
    </row>
    <row r="26" spans="1:21" x14ac:dyDescent="0.2">
      <c r="A26" s="26" t="s">
        <v>2</v>
      </c>
      <c r="B26" s="22"/>
      <c r="C26" s="22"/>
      <c r="D26" s="12"/>
      <c r="E26" s="12"/>
      <c r="F26" s="12"/>
      <c r="G26" s="1">
        <v>2836</v>
      </c>
      <c r="H26" s="2">
        <v>18397</v>
      </c>
      <c r="I26" s="2">
        <v>1201</v>
      </c>
      <c r="J26" s="2">
        <v>2751</v>
      </c>
      <c r="K26" s="2">
        <v>7017</v>
      </c>
      <c r="L26" s="102">
        <v>2350</v>
      </c>
      <c r="M26" s="117">
        <v>6060</v>
      </c>
      <c r="N26" s="117">
        <v>1395</v>
      </c>
      <c r="O26" s="117">
        <v>1851</v>
      </c>
      <c r="P26" s="117">
        <v>5091</v>
      </c>
      <c r="Q26" s="117">
        <v>1967</v>
      </c>
      <c r="R26" s="1">
        <v>5354</v>
      </c>
      <c r="S26" s="1">
        <v>1786</v>
      </c>
      <c r="T26" s="1">
        <v>4211</v>
      </c>
      <c r="U26" s="1">
        <v>1884</v>
      </c>
    </row>
    <row r="27" spans="1:21" x14ac:dyDescent="0.2">
      <c r="A27" s="26" t="s">
        <v>3</v>
      </c>
      <c r="B27" s="22"/>
      <c r="C27" s="22"/>
      <c r="D27" s="12"/>
      <c r="E27" s="12"/>
      <c r="F27" s="12"/>
      <c r="G27" s="1">
        <v>2337</v>
      </c>
      <c r="H27" s="2">
        <v>6573</v>
      </c>
      <c r="I27" s="2">
        <v>3670</v>
      </c>
      <c r="J27" s="2">
        <v>5447</v>
      </c>
      <c r="K27" s="2">
        <v>4559</v>
      </c>
      <c r="L27" s="102">
        <v>2181</v>
      </c>
      <c r="M27" s="117">
        <v>1759</v>
      </c>
      <c r="N27" s="117">
        <v>5445</v>
      </c>
      <c r="O27" s="117">
        <v>2752</v>
      </c>
      <c r="P27" s="117">
        <v>7865</v>
      </c>
      <c r="Q27" s="117">
        <v>2016</v>
      </c>
      <c r="R27" s="117">
        <v>3339</v>
      </c>
      <c r="S27" s="1">
        <v>2313</v>
      </c>
      <c r="T27" s="1">
        <v>4342</v>
      </c>
      <c r="U27" s="1">
        <v>3985</v>
      </c>
    </row>
    <row r="28" spans="1:21" x14ac:dyDescent="0.2">
      <c r="A28" s="26" t="s">
        <v>4</v>
      </c>
      <c r="B28" s="22"/>
      <c r="C28" s="22"/>
      <c r="D28" s="12"/>
      <c r="E28" s="12"/>
      <c r="F28" s="12"/>
      <c r="G28" s="1">
        <v>2169</v>
      </c>
      <c r="H28" s="2">
        <v>3033</v>
      </c>
      <c r="I28" s="2">
        <v>3143</v>
      </c>
      <c r="J28" s="2">
        <v>7528</v>
      </c>
      <c r="K28" s="2">
        <v>2873</v>
      </c>
      <c r="L28" s="102">
        <v>3157</v>
      </c>
      <c r="M28" s="117">
        <v>3219</v>
      </c>
      <c r="N28" s="117">
        <v>1568</v>
      </c>
      <c r="O28" s="117">
        <v>7455</v>
      </c>
      <c r="P28" s="117">
        <v>2883</v>
      </c>
      <c r="Q28" s="117">
        <v>1693</v>
      </c>
      <c r="R28" s="1">
        <v>3812</v>
      </c>
      <c r="S28" s="1">
        <v>2353</v>
      </c>
      <c r="T28" s="1">
        <v>3484</v>
      </c>
      <c r="U28" s="1">
        <v>2682</v>
      </c>
    </row>
    <row r="29" spans="1:21" x14ac:dyDescent="0.2">
      <c r="A29" s="26" t="s">
        <v>5</v>
      </c>
      <c r="B29" s="22"/>
      <c r="C29" s="22"/>
      <c r="D29" s="12"/>
      <c r="E29" s="12"/>
      <c r="F29" s="12"/>
      <c r="G29" s="1">
        <v>2191</v>
      </c>
      <c r="H29" s="2">
        <v>2264</v>
      </c>
      <c r="I29" s="2">
        <v>2737</v>
      </c>
      <c r="J29" s="2">
        <v>3921</v>
      </c>
      <c r="K29" s="2">
        <v>3713</v>
      </c>
      <c r="L29" s="102">
        <v>10912</v>
      </c>
      <c r="M29" s="117">
        <v>1448</v>
      </c>
      <c r="N29" s="117">
        <v>939</v>
      </c>
      <c r="O29" s="117">
        <v>1647</v>
      </c>
      <c r="P29" s="117">
        <v>-919</v>
      </c>
      <c r="Q29" s="117">
        <v>414</v>
      </c>
      <c r="R29" s="113">
        <v>2462</v>
      </c>
      <c r="S29" s="1">
        <v>2394</v>
      </c>
      <c r="T29" s="1">
        <v>7080</v>
      </c>
      <c r="U29" s="1">
        <v>2704</v>
      </c>
    </row>
    <row r="30" spans="1:21" x14ac:dyDescent="0.2">
      <c r="A30" s="26" t="s">
        <v>6</v>
      </c>
      <c r="B30" s="22"/>
      <c r="C30" s="22"/>
      <c r="D30" s="12"/>
      <c r="E30" s="12"/>
      <c r="F30" s="12"/>
      <c r="G30" s="1">
        <v>4277</v>
      </c>
      <c r="H30" s="2">
        <v>3759</v>
      </c>
      <c r="I30" s="2">
        <v>1727</v>
      </c>
      <c r="J30" s="2">
        <v>869</v>
      </c>
      <c r="K30" s="2">
        <v>5568</v>
      </c>
      <c r="L30" s="102">
        <v>4904</v>
      </c>
      <c r="M30" s="117">
        <v>12502</v>
      </c>
      <c r="N30" s="117">
        <v>2481</v>
      </c>
      <c r="O30" s="117">
        <v>3372</v>
      </c>
      <c r="P30" s="117">
        <v>2750</v>
      </c>
      <c r="Q30" s="117">
        <v>4058</v>
      </c>
      <c r="R30" s="1">
        <v>3380</v>
      </c>
      <c r="S30" s="1">
        <v>2769</v>
      </c>
      <c r="T30" s="1">
        <v>3818</v>
      </c>
      <c r="U30" s="1">
        <v>3898</v>
      </c>
    </row>
    <row r="31" spans="1:21" x14ac:dyDescent="0.2">
      <c r="A31" s="26" t="s">
        <v>7</v>
      </c>
      <c r="B31" s="22"/>
      <c r="C31" s="22"/>
      <c r="D31" s="12"/>
      <c r="E31" s="12"/>
      <c r="F31" s="12"/>
      <c r="G31" s="1">
        <v>2380</v>
      </c>
      <c r="H31" s="2">
        <v>2489</v>
      </c>
      <c r="I31" s="2">
        <v>2294</v>
      </c>
      <c r="J31" s="2">
        <v>2968</v>
      </c>
      <c r="K31" s="2">
        <v>28361</v>
      </c>
      <c r="L31" s="102">
        <v>2972</v>
      </c>
      <c r="M31" s="117">
        <v>3281</v>
      </c>
      <c r="N31" s="117">
        <v>2247</v>
      </c>
      <c r="O31" s="117">
        <v>2132</v>
      </c>
      <c r="P31" s="117">
        <v>3053</v>
      </c>
      <c r="Q31" s="117">
        <v>1893</v>
      </c>
      <c r="R31" s="1">
        <v>2415</v>
      </c>
      <c r="S31" s="1">
        <v>1642</v>
      </c>
      <c r="T31" s="1">
        <v>2477</v>
      </c>
      <c r="U31" s="1">
        <v>2726</v>
      </c>
    </row>
    <row r="32" spans="1:21" x14ac:dyDescent="0.2">
      <c r="A32" s="26" t="s">
        <v>8</v>
      </c>
      <c r="B32" s="22"/>
      <c r="C32" s="22"/>
      <c r="D32" s="12"/>
      <c r="E32" s="12"/>
      <c r="F32" s="12"/>
      <c r="G32" s="1">
        <v>2154</v>
      </c>
      <c r="H32" s="2">
        <v>6049</v>
      </c>
      <c r="I32" s="2">
        <v>5118</v>
      </c>
      <c r="J32" s="2">
        <v>3007</v>
      </c>
      <c r="K32" s="2">
        <v>2419</v>
      </c>
      <c r="L32" s="102">
        <v>2793</v>
      </c>
      <c r="M32" s="117">
        <v>2684</v>
      </c>
      <c r="N32" s="117">
        <v>1703</v>
      </c>
      <c r="O32" s="117">
        <v>3189</v>
      </c>
      <c r="P32" s="117">
        <v>2373</v>
      </c>
      <c r="Q32" s="117">
        <v>3119</v>
      </c>
      <c r="R32" s="2">
        <v>2488</v>
      </c>
      <c r="S32" s="1">
        <v>2511</v>
      </c>
      <c r="T32" s="1">
        <v>2997</v>
      </c>
      <c r="U32" s="1">
        <v>2712</v>
      </c>
    </row>
    <row r="33" spans="1:21" x14ac:dyDescent="0.2">
      <c r="A33" s="26" t="s">
        <v>9</v>
      </c>
      <c r="B33" s="22"/>
      <c r="C33" s="22"/>
      <c r="D33" s="12"/>
      <c r="E33" s="12"/>
      <c r="F33" s="54">
        <v>0</v>
      </c>
      <c r="G33" s="1">
        <v>2643</v>
      </c>
      <c r="H33" s="2">
        <v>2247</v>
      </c>
      <c r="I33" s="2">
        <v>3855</v>
      </c>
      <c r="J33" s="2">
        <v>5125</v>
      </c>
      <c r="K33" s="2">
        <v>7026</v>
      </c>
      <c r="L33" s="102">
        <v>5471</v>
      </c>
      <c r="M33" s="117">
        <v>27253</v>
      </c>
      <c r="N33" s="117">
        <v>1868</v>
      </c>
      <c r="O33" s="117">
        <v>1461</v>
      </c>
      <c r="P33" s="117">
        <v>2470</v>
      </c>
      <c r="Q33" s="117">
        <v>2557</v>
      </c>
      <c r="R33" s="1">
        <v>2563</v>
      </c>
      <c r="S33" s="1">
        <v>2564</v>
      </c>
      <c r="T33" s="1">
        <v>3484</v>
      </c>
      <c r="U33" s="1">
        <v>2948</v>
      </c>
    </row>
    <row r="34" spans="1:21" x14ac:dyDescent="0.2">
      <c r="A34" s="26" t="s">
        <v>10</v>
      </c>
      <c r="B34" s="22"/>
      <c r="C34" s="22"/>
      <c r="D34" s="12"/>
      <c r="E34" s="12"/>
      <c r="F34" s="54"/>
      <c r="G34" s="1">
        <v>1404</v>
      </c>
      <c r="H34" s="2">
        <v>2895</v>
      </c>
      <c r="I34" s="2">
        <v>5708</v>
      </c>
      <c r="J34" s="2">
        <v>3597</v>
      </c>
      <c r="K34" s="2">
        <v>5658</v>
      </c>
      <c r="L34" s="102">
        <v>2668</v>
      </c>
      <c r="M34" s="117">
        <v>2041</v>
      </c>
      <c r="N34" s="117">
        <v>1589</v>
      </c>
      <c r="O34" s="117">
        <v>1611</v>
      </c>
      <c r="P34" s="117">
        <v>4926</v>
      </c>
      <c r="Q34" s="117">
        <v>3734</v>
      </c>
      <c r="R34" s="1">
        <v>4118</v>
      </c>
      <c r="S34" s="1">
        <v>1857</v>
      </c>
      <c r="T34" s="1">
        <v>2440</v>
      </c>
      <c r="U34" s="1">
        <v>2670</v>
      </c>
    </row>
    <row r="35" spans="1:21" x14ac:dyDescent="0.2">
      <c r="A35" s="26" t="s">
        <v>11</v>
      </c>
      <c r="B35" s="23"/>
      <c r="C35" s="23"/>
      <c r="D35" s="23"/>
      <c r="E35" s="23"/>
      <c r="F35" s="55">
        <v>3304</v>
      </c>
      <c r="G35" s="39">
        <v>1530</v>
      </c>
      <c r="H35" s="40">
        <v>2956</v>
      </c>
      <c r="I35" s="40">
        <v>5177</v>
      </c>
      <c r="J35" s="40">
        <v>14273</v>
      </c>
      <c r="K35" s="40">
        <v>6413</v>
      </c>
      <c r="L35" s="95">
        <v>4081</v>
      </c>
      <c r="M35" s="95">
        <v>2178</v>
      </c>
      <c r="N35" s="95">
        <v>1550</v>
      </c>
      <c r="O35" s="95">
        <v>2344</v>
      </c>
      <c r="P35" s="95">
        <v>1977</v>
      </c>
      <c r="Q35" s="95">
        <v>1195</v>
      </c>
      <c r="R35" s="1">
        <v>1883</v>
      </c>
      <c r="S35" s="1">
        <v>1616</v>
      </c>
      <c r="T35" s="1">
        <v>3500</v>
      </c>
      <c r="U35" s="1">
        <v>3081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3304</v>
      </c>
      <c r="G36" s="44">
        <f t="shared" si="4"/>
        <v>27769</v>
      </c>
      <c r="H36" s="44">
        <f t="shared" si="4"/>
        <v>54196</v>
      </c>
      <c r="I36" s="44">
        <f t="shared" si="4"/>
        <v>39442</v>
      </c>
      <c r="J36" s="44">
        <f t="shared" si="4"/>
        <v>67220</v>
      </c>
      <c r="K36" s="44">
        <f t="shared" si="4"/>
        <v>90074</v>
      </c>
      <c r="L36" s="96">
        <f t="shared" ref="L36:Q36" si="5">SUM(L24:L35)</f>
        <v>49543</v>
      </c>
      <c r="M36" s="96">
        <f t="shared" si="5"/>
        <v>75317</v>
      </c>
      <c r="N36" s="96">
        <f t="shared" si="5"/>
        <v>24988</v>
      </c>
      <c r="O36" s="96">
        <f t="shared" si="5"/>
        <v>50128</v>
      </c>
      <c r="P36" s="96">
        <f t="shared" si="5"/>
        <v>38436</v>
      </c>
      <c r="Q36" s="96">
        <f t="shared" si="5"/>
        <v>28436</v>
      </c>
      <c r="R36" s="126">
        <f t="shared" ref="R36:S36" si="6">SUM(R24:R35)</f>
        <v>40185</v>
      </c>
      <c r="S36" s="126">
        <f t="shared" si="6"/>
        <v>27682</v>
      </c>
      <c r="T36" s="126">
        <f t="shared" ref="T36:U36" si="7">SUM(T24:T35)</f>
        <v>43522</v>
      </c>
      <c r="U36" s="126">
        <f t="shared" si="7"/>
        <v>34791</v>
      </c>
    </row>
    <row r="37" spans="1:21" x14ac:dyDescent="0.2">
      <c r="A37" s="25"/>
      <c r="G37" s="1"/>
      <c r="H37" s="2"/>
      <c r="L37" s="94"/>
    </row>
    <row r="38" spans="1:21" x14ac:dyDescent="0.2">
      <c r="A38" s="25"/>
      <c r="G38" s="7"/>
      <c r="H38" s="2"/>
    </row>
    <row r="39" spans="1:21" x14ac:dyDescent="0.2">
      <c r="A39" s="29" t="s">
        <v>263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-43</v>
      </c>
      <c r="J42" s="2">
        <v>-443</v>
      </c>
      <c r="K42" s="2">
        <v>-2825</v>
      </c>
      <c r="L42" s="2">
        <v>-11006</v>
      </c>
      <c r="M42" s="2">
        <v>-22751</v>
      </c>
      <c r="N42" s="2">
        <v>-27154</v>
      </c>
      <c r="O42" s="117">
        <v>-74</v>
      </c>
      <c r="P42" s="117">
        <v>-3416</v>
      </c>
      <c r="Q42" s="117">
        <v>0</v>
      </c>
      <c r="R42" s="117">
        <v>0</v>
      </c>
      <c r="S42" s="117">
        <v>-396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0</v>
      </c>
      <c r="I43" s="2">
        <v>-2367</v>
      </c>
      <c r="J43" s="2">
        <v>0</v>
      </c>
      <c r="K43" s="2">
        <v>-12070</v>
      </c>
      <c r="L43" s="2">
        <v>-25296</v>
      </c>
      <c r="M43" s="2">
        <v>-5631</v>
      </c>
      <c r="N43" s="2">
        <v>0</v>
      </c>
      <c r="O43" s="117">
        <v>0</v>
      </c>
      <c r="P43" s="117">
        <v>-15019</v>
      </c>
      <c r="Q43" s="117">
        <v>-5583</v>
      </c>
      <c r="R43" s="117">
        <v>0</v>
      </c>
      <c r="S43" s="117">
        <v>0</v>
      </c>
      <c r="T43" s="1">
        <v>-3565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0</v>
      </c>
      <c r="H44" s="2">
        <v>-41</v>
      </c>
      <c r="I44" s="2">
        <v>-6170</v>
      </c>
      <c r="J44" s="2">
        <v>0</v>
      </c>
      <c r="K44" s="2">
        <v>-19880</v>
      </c>
      <c r="L44" s="2">
        <v>-208</v>
      </c>
      <c r="M44" s="2">
        <v>-24118</v>
      </c>
      <c r="N44" s="2">
        <v>-3124</v>
      </c>
      <c r="O44" s="117">
        <v>-2726</v>
      </c>
      <c r="P44" s="117">
        <v>-33409</v>
      </c>
      <c r="Q44" s="117">
        <v>-45</v>
      </c>
      <c r="R44" s="113">
        <v>-74</v>
      </c>
      <c r="S44" s="117">
        <v>-131</v>
      </c>
      <c r="T44" s="1">
        <v>-1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0</v>
      </c>
      <c r="I45" s="2">
        <v>-1251</v>
      </c>
      <c r="J45" s="2">
        <v>-4356</v>
      </c>
      <c r="K45" s="2">
        <v>-12660</v>
      </c>
      <c r="L45" s="2">
        <v>0</v>
      </c>
      <c r="M45" s="2">
        <v>-568</v>
      </c>
      <c r="N45" s="2">
        <v>-10162</v>
      </c>
      <c r="O45" s="117">
        <v>-1146</v>
      </c>
      <c r="P45" s="117">
        <v>-1277</v>
      </c>
      <c r="Q45" s="117">
        <v>0</v>
      </c>
      <c r="R45" s="117">
        <v>-482</v>
      </c>
      <c r="S45" s="117">
        <v>0</v>
      </c>
      <c r="T45" s="1">
        <v>0</v>
      </c>
      <c r="U45" s="1">
        <v>-10064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-1199</v>
      </c>
      <c r="I46" s="2">
        <v>-7</v>
      </c>
      <c r="J46" s="2">
        <v>-80</v>
      </c>
      <c r="K46" s="2">
        <v>0</v>
      </c>
      <c r="L46" s="2">
        <v>-3928</v>
      </c>
      <c r="M46" s="2">
        <v>0</v>
      </c>
      <c r="N46" s="2">
        <v>-271</v>
      </c>
      <c r="O46" s="117">
        <v>-3148</v>
      </c>
      <c r="P46" s="117">
        <v>-304</v>
      </c>
      <c r="Q46" s="117">
        <v>0</v>
      </c>
      <c r="R46" s="117">
        <v>-730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-13</v>
      </c>
      <c r="I47" s="2">
        <v>-3265</v>
      </c>
      <c r="J47" s="2">
        <v>-3055</v>
      </c>
      <c r="K47" s="2">
        <v>-4968</v>
      </c>
      <c r="L47" s="2">
        <v>-83</v>
      </c>
      <c r="M47" s="2">
        <v>-3964</v>
      </c>
      <c r="N47" s="2">
        <v>-1531</v>
      </c>
      <c r="O47" s="117">
        <v>0</v>
      </c>
      <c r="P47" s="117">
        <v>-1349</v>
      </c>
      <c r="Q47" s="117">
        <v>0</v>
      </c>
      <c r="R47" s="117">
        <v>-141</v>
      </c>
      <c r="S47" s="117">
        <v>-594</v>
      </c>
      <c r="T47" s="1">
        <v>-571</v>
      </c>
      <c r="U47" s="117">
        <v>-185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-70</v>
      </c>
      <c r="H48" s="2">
        <v>0</v>
      </c>
      <c r="I48" s="2">
        <v>-62</v>
      </c>
      <c r="J48" s="2">
        <v>-420</v>
      </c>
      <c r="K48" s="2">
        <v>-1056</v>
      </c>
      <c r="L48" s="2">
        <v>-32</v>
      </c>
      <c r="M48" s="2">
        <v>-6416</v>
      </c>
      <c r="N48" s="2">
        <v>0</v>
      </c>
      <c r="O48" s="117">
        <v>0</v>
      </c>
      <c r="P48" s="117">
        <v>-7156</v>
      </c>
      <c r="Q48" s="117">
        <v>-5</v>
      </c>
      <c r="R48" s="1">
        <v>-76</v>
      </c>
      <c r="S48" s="117">
        <v>0</v>
      </c>
      <c r="T48" s="1">
        <v>-136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-126</v>
      </c>
      <c r="I49" s="2">
        <v>-2822</v>
      </c>
      <c r="J49" s="2">
        <v>0</v>
      </c>
      <c r="K49" s="2">
        <v>0</v>
      </c>
      <c r="L49" s="2">
        <v>-3120</v>
      </c>
      <c r="M49" s="2">
        <v>0</v>
      </c>
      <c r="N49" s="2">
        <v>-1225</v>
      </c>
      <c r="O49" s="117">
        <v>-22</v>
      </c>
      <c r="P49" s="117">
        <v>-1952</v>
      </c>
      <c r="Q49" s="117">
        <v>0</v>
      </c>
      <c r="R49" s="1">
        <v>-1350</v>
      </c>
      <c r="S49" s="117">
        <v>0</v>
      </c>
      <c r="T49" s="1">
        <v>0</v>
      </c>
      <c r="U49" s="117">
        <v>-101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-4</v>
      </c>
      <c r="J50" s="2">
        <v>-1257</v>
      </c>
      <c r="K50" s="2">
        <v>-15</v>
      </c>
      <c r="L50" s="2">
        <v>0</v>
      </c>
      <c r="M50" s="2">
        <v>-2394</v>
      </c>
      <c r="N50" s="2">
        <v>-1453</v>
      </c>
      <c r="O50" s="117">
        <v>-525</v>
      </c>
      <c r="P50" s="117">
        <v>0</v>
      </c>
      <c r="Q50" s="117">
        <v>-1</v>
      </c>
      <c r="R50" s="117">
        <v>-699</v>
      </c>
      <c r="S50" s="1">
        <v>-3336</v>
      </c>
      <c r="T50" s="1">
        <v>0</v>
      </c>
      <c r="U50" s="1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0</v>
      </c>
      <c r="H51" s="2">
        <v>0</v>
      </c>
      <c r="I51" s="2">
        <v>-45</v>
      </c>
      <c r="J51" s="2">
        <v>-72</v>
      </c>
      <c r="K51" s="2">
        <v>-533</v>
      </c>
      <c r="L51" s="2">
        <v>0</v>
      </c>
      <c r="M51" s="2">
        <v>-36311</v>
      </c>
      <c r="N51" s="2">
        <v>0</v>
      </c>
      <c r="O51" s="117">
        <v>-3226</v>
      </c>
      <c r="P51" s="117">
        <v>0</v>
      </c>
      <c r="Q51" s="117">
        <v>0</v>
      </c>
      <c r="R51" s="1">
        <v>-2185</v>
      </c>
      <c r="S51" s="117">
        <v>0</v>
      </c>
      <c r="T51" s="1">
        <v>-312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-1298</v>
      </c>
      <c r="H52" s="2">
        <v>-3353</v>
      </c>
      <c r="I52" s="2">
        <v>-3438</v>
      </c>
      <c r="J52" s="2">
        <v>0</v>
      </c>
      <c r="K52" s="2">
        <v>-6283</v>
      </c>
      <c r="L52" s="2">
        <v>0</v>
      </c>
      <c r="M52" s="2">
        <v>-7111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-10</v>
      </c>
      <c r="H53" s="40">
        <v>0</v>
      </c>
      <c r="I53" s="40">
        <v>-162</v>
      </c>
      <c r="J53" s="40">
        <v>-5044</v>
      </c>
      <c r="K53" s="40">
        <v>-161</v>
      </c>
      <c r="L53" s="40">
        <v>-3756</v>
      </c>
      <c r="M53" s="40">
        <v>-730</v>
      </c>
      <c r="N53" s="40">
        <v>0</v>
      </c>
      <c r="O53" s="40">
        <v>0</v>
      </c>
      <c r="P53" s="40">
        <v>0</v>
      </c>
      <c r="Q53" s="40">
        <v>0</v>
      </c>
      <c r="R53" s="1">
        <v>-1988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N54" si="8">SUM(G42:G53)</f>
        <v>-1378</v>
      </c>
      <c r="H54" s="126">
        <f t="shared" si="8"/>
        <v>-4732</v>
      </c>
      <c r="I54" s="126">
        <f t="shared" si="8"/>
        <v>-19636</v>
      </c>
      <c r="J54" s="126">
        <f t="shared" si="8"/>
        <v>-14727</v>
      </c>
      <c r="K54" s="126">
        <f t="shared" si="8"/>
        <v>-60451</v>
      </c>
      <c r="L54" s="126">
        <f t="shared" si="8"/>
        <v>-47429</v>
      </c>
      <c r="M54" s="126">
        <f t="shared" si="8"/>
        <v>-109994</v>
      </c>
      <c r="N54" s="126">
        <f t="shared" si="8"/>
        <v>-44920</v>
      </c>
      <c r="O54" s="96">
        <f>SUM(O42:O53)</f>
        <v>-10867</v>
      </c>
      <c r="P54" s="96">
        <f>SUM(P42:P53)</f>
        <v>-63882</v>
      </c>
      <c r="Q54" s="96">
        <f>SUM(Q42:Q53)</f>
        <v>-5634</v>
      </c>
      <c r="R54" s="126">
        <f t="shared" ref="R54" si="9">SUM(R42:R53)</f>
        <v>-7725</v>
      </c>
      <c r="S54" s="126">
        <f>SUM(S42:S53)</f>
        <v>-4457</v>
      </c>
      <c r="T54" s="126">
        <f t="shared" ref="T54" si="10">SUM(T42:T53)</f>
        <v>-4585</v>
      </c>
      <c r="U54" s="126">
        <f>SUM(U42:U53)</f>
        <v>-10350</v>
      </c>
    </row>
    <row r="57" spans="1:21" x14ac:dyDescent="0.2">
      <c r="A57" s="29" t="s">
        <v>441</v>
      </c>
      <c r="D57" s="94" t="s">
        <v>440</v>
      </c>
    </row>
    <row r="58" spans="1:21" x14ac:dyDescent="0.2">
      <c r="A58" s="180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6" t="s">
        <v>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"/>
      <c r="S59" s="1">
        <v>3401</v>
      </c>
      <c r="T59" s="1">
        <v>5942</v>
      </c>
      <c r="U59" s="1">
        <v>6602</v>
      </c>
    </row>
    <row r="60" spans="1:21" x14ac:dyDescent="0.2">
      <c r="A60" s="26" t="s">
        <v>1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2"/>
      <c r="S60" s="1">
        <v>4015</v>
      </c>
      <c r="T60" s="1">
        <v>4955</v>
      </c>
      <c r="U60" s="1">
        <v>6030</v>
      </c>
    </row>
    <row r="61" spans="1:21" x14ac:dyDescent="0.2">
      <c r="A61" s="26" t="s">
        <v>2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2"/>
      <c r="S61" s="1">
        <v>3725</v>
      </c>
      <c r="T61" s="1">
        <v>5129</v>
      </c>
      <c r="U61" s="1">
        <v>6259</v>
      </c>
    </row>
    <row r="62" spans="1:21" x14ac:dyDescent="0.2">
      <c r="A62" s="26" t="s">
        <v>3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>
        <v>0</v>
      </c>
      <c r="S62" s="1">
        <v>4401</v>
      </c>
      <c r="T62" s="1">
        <v>5764</v>
      </c>
      <c r="U62" s="1">
        <v>7856</v>
      </c>
    </row>
    <row r="63" spans="1:21" x14ac:dyDescent="0.2">
      <c r="A63" s="26" t="s">
        <v>4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>
        <v>2434</v>
      </c>
      <c r="S63" s="1">
        <v>5390</v>
      </c>
      <c r="T63" s="1">
        <v>5724</v>
      </c>
      <c r="U63" s="1">
        <v>7387</v>
      </c>
    </row>
    <row r="64" spans="1:21" x14ac:dyDescent="0.2">
      <c r="A64" s="26" t="s">
        <v>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3">
        <v>3451</v>
      </c>
      <c r="S64" s="1">
        <v>6109</v>
      </c>
      <c r="T64" s="1">
        <v>7876</v>
      </c>
      <c r="U64" s="1">
        <v>8662</v>
      </c>
    </row>
    <row r="65" spans="1:21" x14ac:dyDescent="0.2">
      <c r="A65" s="26" t="s">
        <v>6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">
        <v>4249</v>
      </c>
      <c r="S65" s="1">
        <v>6269</v>
      </c>
      <c r="T65" s="1">
        <v>7700</v>
      </c>
      <c r="U65" s="1">
        <v>9319</v>
      </c>
    </row>
    <row r="66" spans="1:21" x14ac:dyDescent="0.2">
      <c r="A66" s="26" t="s">
        <v>7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">
        <v>5096</v>
      </c>
      <c r="S66" s="1">
        <v>6837</v>
      </c>
      <c r="T66" s="1">
        <v>8069</v>
      </c>
      <c r="U66" s="1">
        <v>8819</v>
      </c>
    </row>
    <row r="67" spans="1:21" x14ac:dyDescent="0.2">
      <c r="A67" s="26" t="s">
        <v>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2">
        <v>5371</v>
      </c>
      <c r="S67" s="1">
        <v>6411</v>
      </c>
      <c r="T67" s="1">
        <v>7010</v>
      </c>
      <c r="U67" s="1">
        <v>8546</v>
      </c>
    </row>
    <row r="68" spans="1:21" x14ac:dyDescent="0.2">
      <c r="A68" s="26" t="s">
        <v>9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">
        <v>4580</v>
      </c>
      <c r="S68" s="1">
        <v>6191</v>
      </c>
      <c r="T68" s="1">
        <v>7603</v>
      </c>
      <c r="U68" s="1">
        <v>8519</v>
      </c>
    </row>
    <row r="69" spans="1:21" x14ac:dyDescent="0.2">
      <c r="A69" s="26" t="s">
        <v>10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">
        <v>4872</v>
      </c>
      <c r="S69" s="1">
        <v>6162</v>
      </c>
      <c r="T69" s="1">
        <v>7222</v>
      </c>
      <c r="U69" s="1">
        <v>8684</v>
      </c>
    </row>
    <row r="70" spans="1:21" x14ac:dyDescent="0.2">
      <c r="A70" s="26" t="s">
        <v>11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">
        <v>4001</v>
      </c>
      <c r="S70" s="1">
        <v>5261</v>
      </c>
      <c r="T70" s="1">
        <v>6020</v>
      </c>
      <c r="U70" s="1">
        <v>7448</v>
      </c>
    </row>
    <row r="71" spans="1:21" x14ac:dyDescent="0.2">
      <c r="B71" s="137">
        <f t="shared" ref="B71:Q71" si="11">SUM(B59:B70)</f>
        <v>0</v>
      </c>
      <c r="C71" s="138">
        <f t="shared" si="11"/>
        <v>0</v>
      </c>
      <c r="D71" s="124">
        <f t="shared" si="11"/>
        <v>0</v>
      </c>
      <c r="E71" s="124">
        <f t="shared" si="11"/>
        <v>0</v>
      </c>
      <c r="F71" s="124">
        <f t="shared" si="11"/>
        <v>0</v>
      </c>
      <c r="G71" s="124">
        <f t="shared" si="11"/>
        <v>0</v>
      </c>
      <c r="H71" s="124">
        <f t="shared" si="11"/>
        <v>0</v>
      </c>
      <c r="I71" s="125">
        <f t="shared" si="11"/>
        <v>0</v>
      </c>
      <c r="J71" s="125">
        <f t="shared" si="11"/>
        <v>0</v>
      </c>
      <c r="K71" s="125">
        <f t="shared" si="11"/>
        <v>0</v>
      </c>
      <c r="L71" s="126">
        <f t="shared" si="11"/>
        <v>0</v>
      </c>
      <c r="M71" s="126">
        <f t="shared" si="11"/>
        <v>0</v>
      </c>
      <c r="N71" s="126">
        <f t="shared" si="11"/>
        <v>0</v>
      </c>
      <c r="O71" s="126">
        <f t="shared" si="11"/>
        <v>0</v>
      </c>
      <c r="P71" s="126">
        <f t="shared" si="11"/>
        <v>0</v>
      </c>
      <c r="Q71" s="126">
        <f t="shared" si="11"/>
        <v>0</v>
      </c>
      <c r="R71" s="126">
        <f t="shared" ref="R71:T71" si="12">SUM(R59:R70)</f>
        <v>34054</v>
      </c>
      <c r="S71" s="184">
        <f>SUM(S59:S70)</f>
        <v>64172</v>
      </c>
      <c r="T71" s="126">
        <f t="shared" si="12"/>
        <v>79014</v>
      </c>
      <c r="U71" s="184">
        <f>SUM(U59:U70)</f>
        <v>94131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/>
  <dimension ref="A2:U54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8.140625" bestFit="1" customWidth="1"/>
    <col min="7" max="8" width="9.140625" bestFit="1" customWidth="1"/>
    <col min="9" max="10" width="8.85546875" bestFit="1" customWidth="1"/>
    <col min="11" max="11" width="8.5703125" bestFit="1" customWidth="1"/>
    <col min="12" max="12" width="9.140625" customWidth="1"/>
    <col min="13" max="19" width="9.28515625" bestFit="1" customWidth="1"/>
  </cols>
  <sheetData>
    <row r="2" spans="1:21" x14ac:dyDescent="0.2">
      <c r="A2" s="24" t="s">
        <v>88</v>
      </c>
      <c r="B2" s="148">
        <v>5.0000000000000001E-3</v>
      </c>
      <c r="D2" s="94" t="s">
        <v>200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12"/>
      <c r="F5" s="22"/>
      <c r="G5" s="1">
        <v>9666</v>
      </c>
      <c r="H5" s="2">
        <v>11553</v>
      </c>
      <c r="I5" s="2">
        <v>12374</v>
      </c>
      <c r="J5" s="2">
        <v>15459</v>
      </c>
      <c r="K5" s="2">
        <v>13943</v>
      </c>
      <c r="L5" s="102">
        <v>16042</v>
      </c>
      <c r="M5" s="117">
        <v>15952</v>
      </c>
      <c r="N5" s="117">
        <v>18623</v>
      </c>
      <c r="O5" s="117">
        <v>19999</v>
      </c>
      <c r="P5" s="117">
        <v>19206</v>
      </c>
      <c r="Q5" s="117">
        <v>19866</v>
      </c>
      <c r="R5" s="1">
        <v>22222</v>
      </c>
      <c r="S5" s="1">
        <v>25492</v>
      </c>
      <c r="T5" s="1">
        <v>27865</v>
      </c>
      <c r="U5" s="1">
        <v>28952</v>
      </c>
    </row>
    <row r="6" spans="1:21" x14ac:dyDescent="0.2">
      <c r="A6" s="26" t="s">
        <v>1</v>
      </c>
      <c r="B6" s="22"/>
      <c r="C6" s="22"/>
      <c r="D6" s="12"/>
      <c r="E6" s="12"/>
      <c r="F6" s="12"/>
      <c r="G6" s="1">
        <v>8292</v>
      </c>
      <c r="H6" s="2">
        <v>11008</v>
      </c>
      <c r="I6" s="2">
        <v>12673</v>
      </c>
      <c r="J6" s="2">
        <v>11953</v>
      </c>
      <c r="K6" s="2">
        <v>12963</v>
      </c>
      <c r="L6" s="102">
        <v>13014</v>
      </c>
      <c r="M6" s="117">
        <v>14506</v>
      </c>
      <c r="N6" s="117">
        <v>15376</v>
      </c>
      <c r="O6" s="117">
        <v>15349</v>
      </c>
      <c r="P6" s="117">
        <v>14690</v>
      </c>
      <c r="Q6" s="117">
        <v>17616</v>
      </c>
      <c r="R6" s="1">
        <v>18527</v>
      </c>
      <c r="S6" s="1">
        <v>19379</v>
      </c>
      <c r="T6" s="1">
        <v>19028</v>
      </c>
      <c r="U6" s="1">
        <v>23009</v>
      </c>
    </row>
    <row r="7" spans="1:21" x14ac:dyDescent="0.2">
      <c r="A7" s="26" t="s">
        <v>2</v>
      </c>
      <c r="B7" s="22"/>
      <c r="C7" s="22"/>
      <c r="D7" s="12"/>
      <c r="E7" s="12"/>
      <c r="F7" s="12"/>
      <c r="G7" s="1">
        <v>8625</v>
      </c>
      <c r="H7" s="2">
        <v>9913</v>
      </c>
      <c r="I7" s="2">
        <v>13950</v>
      </c>
      <c r="J7" s="2">
        <v>12464</v>
      </c>
      <c r="K7" s="2">
        <v>12379</v>
      </c>
      <c r="L7" s="106">
        <v>13065</v>
      </c>
      <c r="M7" s="117">
        <v>15212</v>
      </c>
      <c r="N7" s="117">
        <v>15888</v>
      </c>
      <c r="O7" s="117">
        <v>16280</v>
      </c>
      <c r="P7" s="117">
        <v>14091</v>
      </c>
      <c r="Q7" s="117">
        <v>16669</v>
      </c>
      <c r="R7" s="1">
        <v>19178</v>
      </c>
      <c r="S7" s="1">
        <v>20632</v>
      </c>
      <c r="T7" s="1">
        <v>24169</v>
      </c>
      <c r="U7" s="1">
        <v>25632</v>
      </c>
    </row>
    <row r="8" spans="1:21" x14ac:dyDescent="0.2">
      <c r="A8" s="26" t="s">
        <v>3</v>
      </c>
      <c r="B8" s="22"/>
      <c r="C8" s="22"/>
      <c r="D8" s="12"/>
      <c r="E8" s="12"/>
      <c r="F8" s="12"/>
      <c r="G8" s="1">
        <v>8741</v>
      </c>
      <c r="H8" s="2">
        <v>11133</v>
      </c>
      <c r="I8" s="2">
        <v>14076</v>
      </c>
      <c r="J8" s="2">
        <v>13610</v>
      </c>
      <c r="K8" s="2">
        <v>13107</v>
      </c>
      <c r="L8" s="106">
        <v>14018</v>
      </c>
      <c r="M8" s="117">
        <v>16617</v>
      </c>
      <c r="N8" s="117">
        <v>18210</v>
      </c>
      <c r="O8" s="117">
        <v>17795</v>
      </c>
      <c r="P8" s="117">
        <v>16368</v>
      </c>
      <c r="Q8" s="117">
        <v>18413</v>
      </c>
      <c r="R8" s="1">
        <v>17362</v>
      </c>
      <c r="S8" s="1">
        <v>26855</v>
      </c>
      <c r="T8" s="1">
        <v>26467</v>
      </c>
      <c r="U8" s="1">
        <v>24779</v>
      </c>
    </row>
    <row r="9" spans="1:21" x14ac:dyDescent="0.2">
      <c r="A9" s="26" t="s">
        <v>4</v>
      </c>
      <c r="B9" s="22"/>
      <c r="C9" s="22"/>
      <c r="D9" s="12"/>
      <c r="E9" s="12"/>
      <c r="F9" s="12"/>
      <c r="G9" s="1">
        <v>9348</v>
      </c>
      <c r="H9" s="2">
        <v>11636</v>
      </c>
      <c r="I9" s="2">
        <v>14414</v>
      </c>
      <c r="J9" s="2">
        <v>13790</v>
      </c>
      <c r="K9" s="2">
        <v>12860</v>
      </c>
      <c r="L9" s="106">
        <v>14426</v>
      </c>
      <c r="M9" s="117">
        <v>19035</v>
      </c>
      <c r="N9" s="117">
        <v>16432</v>
      </c>
      <c r="O9" s="117">
        <v>20154</v>
      </c>
      <c r="P9" s="117">
        <v>16214</v>
      </c>
      <c r="Q9" s="117">
        <v>34030</v>
      </c>
      <c r="R9" s="117">
        <v>17726</v>
      </c>
      <c r="S9" s="1">
        <v>19446</v>
      </c>
      <c r="T9" s="1">
        <v>26371</v>
      </c>
      <c r="U9" s="1">
        <v>23852</v>
      </c>
    </row>
    <row r="10" spans="1:21" x14ac:dyDescent="0.2">
      <c r="A10" s="26" t="s">
        <v>5</v>
      </c>
      <c r="B10" s="22"/>
      <c r="C10" s="22"/>
      <c r="D10" s="12"/>
      <c r="E10" s="12"/>
      <c r="F10" s="12"/>
      <c r="G10" s="1">
        <v>11158</v>
      </c>
      <c r="H10" s="2">
        <v>14401</v>
      </c>
      <c r="I10" s="2">
        <v>25375</v>
      </c>
      <c r="J10" s="2">
        <v>15800</v>
      </c>
      <c r="K10" s="2">
        <v>16264</v>
      </c>
      <c r="L10" s="106">
        <v>18486</v>
      </c>
      <c r="M10" s="117">
        <v>18849</v>
      </c>
      <c r="N10" s="117">
        <v>20898</v>
      </c>
      <c r="O10" s="117">
        <v>22506</v>
      </c>
      <c r="P10" s="117">
        <v>20973</v>
      </c>
      <c r="Q10" s="117">
        <v>21085</v>
      </c>
      <c r="R10" s="1">
        <v>22591</v>
      </c>
      <c r="S10" s="1">
        <v>25746</v>
      </c>
      <c r="T10" s="1">
        <v>29573</v>
      </c>
      <c r="U10" s="1">
        <v>35931</v>
      </c>
    </row>
    <row r="11" spans="1:21" x14ac:dyDescent="0.2">
      <c r="A11" s="26" t="s">
        <v>6</v>
      </c>
      <c r="B11" s="22"/>
      <c r="C11" s="22"/>
      <c r="D11" s="12"/>
      <c r="E11" s="12"/>
      <c r="F11" s="12"/>
      <c r="G11" s="1">
        <v>11479</v>
      </c>
      <c r="H11" s="2">
        <v>13108</v>
      </c>
      <c r="I11" s="2">
        <v>13570</v>
      </c>
      <c r="J11" s="2">
        <v>13375</v>
      </c>
      <c r="K11" s="2">
        <v>8758</v>
      </c>
      <c r="L11" s="106">
        <v>15312</v>
      </c>
      <c r="M11" s="117">
        <v>13733</v>
      </c>
      <c r="N11" s="117">
        <v>15491</v>
      </c>
      <c r="O11" s="117">
        <v>19116</v>
      </c>
      <c r="P11" s="117">
        <v>15989</v>
      </c>
      <c r="Q11" s="117">
        <v>14528</v>
      </c>
      <c r="R11" s="1">
        <v>22724</v>
      </c>
      <c r="S11" s="1">
        <v>32384</v>
      </c>
      <c r="T11" s="1">
        <v>35231</v>
      </c>
      <c r="U11" s="1">
        <v>35221</v>
      </c>
    </row>
    <row r="12" spans="1:21" x14ac:dyDescent="0.2">
      <c r="A12" s="26" t="s">
        <v>7</v>
      </c>
      <c r="B12" s="22"/>
      <c r="C12" s="22"/>
      <c r="D12" s="12"/>
      <c r="E12" s="12"/>
      <c r="F12" s="12"/>
      <c r="G12" s="1">
        <v>18003</v>
      </c>
      <c r="H12" s="2">
        <v>20567</v>
      </c>
      <c r="I12" s="2">
        <v>20877</v>
      </c>
      <c r="J12" s="2">
        <v>19953</v>
      </c>
      <c r="K12" s="2">
        <v>25424</v>
      </c>
      <c r="L12" s="106">
        <v>23320</v>
      </c>
      <c r="M12" s="117">
        <v>27895</v>
      </c>
      <c r="N12" s="117">
        <v>29907</v>
      </c>
      <c r="O12" s="117">
        <v>22505</v>
      </c>
      <c r="P12" s="117">
        <v>25956</v>
      </c>
      <c r="Q12" s="117">
        <v>33307</v>
      </c>
      <c r="R12" s="1">
        <v>27853</v>
      </c>
      <c r="S12" s="1">
        <v>27814</v>
      </c>
      <c r="T12" s="1">
        <v>29571</v>
      </c>
      <c r="U12" s="1">
        <v>30510</v>
      </c>
    </row>
    <row r="13" spans="1:21" x14ac:dyDescent="0.2">
      <c r="A13" s="26" t="s">
        <v>8</v>
      </c>
      <c r="B13" s="22"/>
      <c r="C13" s="22"/>
      <c r="D13" s="12"/>
      <c r="E13" s="12"/>
      <c r="F13" s="12"/>
      <c r="G13" s="1">
        <v>14624</v>
      </c>
      <c r="H13" s="2">
        <v>15244</v>
      </c>
      <c r="I13" s="2">
        <v>21973</v>
      </c>
      <c r="J13" s="2">
        <v>18556</v>
      </c>
      <c r="K13" s="2">
        <v>18002</v>
      </c>
      <c r="L13" s="106">
        <v>19599</v>
      </c>
      <c r="M13" s="117">
        <v>19365</v>
      </c>
      <c r="N13" s="117">
        <v>20376</v>
      </c>
      <c r="O13" s="117">
        <v>19944</v>
      </c>
      <c r="P13" s="117">
        <v>22251</v>
      </c>
      <c r="Q13" s="117">
        <v>25448</v>
      </c>
      <c r="R13" s="2">
        <v>23475</v>
      </c>
      <c r="S13" s="1">
        <v>26748</v>
      </c>
      <c r="T13" s="1">
        <v>31624</v>
      </c>
      <c r="U13" s="1">
        <v>35731</v>
      </c>
    </row>
    <row r="14" spans="1:21" x14ac:dyDescent="0.2">
      <c r="A14" s="26" t="s">
        <v>9</v>
      </c>
      <c r="B14" s="30"/>
      <c r="C14" s="22"/>
      <c r="D14" s="12"/>
      <c r="E14" s="12"/>
      <c r="F14" s="12"/>
      <c r="G14" s="1">
        <v>12871</v>
      </c>
      <c r="H14" s="2">
        <v>13745</v>
      </c>
      <c r="I14" s="2">
        <v>16235</v>
      </c>
      <c r="J14" s="2">
        <v>14700</v>
      </c>
      <c r="K14" s="2">
        <v>15303</v>
      </c>
      <c r="L14" s="106">
        <v>17021</v>
      </c>
      <c r="M14" s="117">
        <v>19465</v>
      </c>
      <c r="N14" s="117">
        <v>19729</v>
      </c>
      <c r="O14" s="117">
        <v>22082</v>
      </c>
      <c r="P14" s="117">
        <v>16851</v>
      </c>
      <c r="Q14" s="117">
        <v>22401</v>
      </c>
      <c r="R14" s="1">
        <v>23745</v>
      </c>
      <c r="S14" s="1">
        <v>27442</v>
      </c>
      <c r="T14" s="1">
        <v>26524</v>
      </c>
      <c r="U14" s="1">
        <v>34609</v>
      </c>
    </row>
    <row r="15" spans="1:21" x14ac:dyDescent="0.2">
      <c r="A15" s="26" t="s">
        <v>10</v>
      </c>
      <c r="B15" s="22"/>
      <c r="C15" s="22"/>
      <c r="D15" s="12"/>
      <c r="E15" s="12"/>
      <c r="F15" s="12"/>
      <c r="G15" s="1">
        <v>11170</v>
      </c>
      <c r="H15" s="2">
        <v>17540</v>
      </c>
      <c r="I15" s="2">
        <v>14177</v>
      </c>
      <c r="J15" s="2">
        <v>13832</v>
      </c>
      <c r="K15" s="2">
        <v>14865</v>
      </c>
      <c r="L15" s="106">
        <v>16284</v>
      </c>
      <c r="M15" s="117">
        <v>16709</v>
      </c>
      <c r="N15" s="117">
        <v>16884</v>
      </c>
      <c r="O15" s="117">
        <v>18254</v>
      </c>
      <c r="P15" s="117">
        <v>19794</v>
      </c>
      <c r="Q15" s="117">
        <v>22316</v>
      </c>
      <c r="R15" s="1">
        <v>22067</v>
      </c>
      <c r="S15" s="1">
        <v>23683</v>
      </c>
      <c r="T15" s="1">
        <v>26497</v>
      </c>
      <c r="U15" s="1">
        <v>34010</v>
      </c>
    </row>
    <row r="16" spans="1:21" x14ac:dyDescent="0.2">
      <c r="A16" s="26" t="s">
        <v>11</v>
      </c>
      <c r="B16" s="23"/>
      <c r="C16" s="23"/>
      <c r="D16" s="23"/>
      <c r="E16" s="23"/>
      <c r="F16" s="37">
        <v>15274</v>
      </c>
      <c r="G16" s="39">
        <v>11101</v>
      </c>
      <c r="H16" s="40">
        <v>13117</v>
      </c>
      <c r="I16" s="40">
        <v>13485</v>
      </c>
      <c r="J16" s="40">
        <v>13454</v>
      </c>
      <c r="K16" s="40">
        <v>15764</v>
      </c>
      <c r="L16" s="95">
        <v>18358</v>
      </c>
      <c r="M16" s="95">
        <v>17119</v>
      </c>
      <c r="N16" s="95">
        <v>17976</v>
      </c>
      <c r="O16" s="95">
        <v>17500</v>
      </c>
      <c r="P16" s="95">
        <v>20842</v>
      </c>
      <c r="Q16" s="95">
        <v>19371</v>
      </c>
      <c r="R16" s="1">
        <v>21147</v>
      </c>
      <c r="S16" s="1">
        <v>23294</v>
      </c>
      <c r="T16" s="1">
        <v>26901</v>
      </c>
      <c r="U16" s="1">
        <v>30702</v>
      </c>
    </row>
    <row r="17" spans="1:21" x14ac:dyDescent="0.2">
      <c r="A17" s="25"/>
      <c r="B17" s="14"/>
      <c r="C17" s="14"/>
      <c r="D17" s="14"/>
      <c r="E17" s="14"/>
      <c r="F17" s="41">
        <f t="shared" ref="F17:K17" si="0">SUM(F5:F16)</f>
        <v>15274</v>
      </c>
      <c r="G17" s="41">
        <f t="shared" si="0"/>
        <v>135078</v>
      </c>
      <c r="H17" s="41">
        <f t="shared" si="0"/>
        <v>162965</v>
      </c>
      <c r="I17" s="44">
        <f t="shared" si="0"/>
        <v>193179</v>
      </c>
      <c r="J17" s="44">
        <f t="shared" si="0"/>
        <v>176946</v>
      </c>
      <c r="K17" s="44">
        <f t="shared" si="0"/>
        <v>179632</v>
      </c>
      <c r="L17" s="96">
        <f t="shared" ref="L17:Q17" si="1">SUM(L5:L16)</f>
        <v>198945</v>
      </c>
      <c r="M17" s="96">
        <f t="shared" si="1"/>
        <v>214457</v>
      </c>
      <c r="N17" s="96">
        <f t="shared" si="1"/>
        <v>225790</v>
      </c>
      <c r="O17" s="96">
        <f t="shared" si="1"/>
        <v>231484</v>
      </c>
      <c r="P17" s="96">
        <f t="shared" si="1"/>
        <v>223225</v>
      </c>
      <c r="Q17" s="96">
        <f t="shared" si="1"/>
        <v>265050</v>
      </c>
      <c r="R17" s="126">
        <f t="shared" ref="R17:S17" si="2">SUM(R5:R16)</f>
        <v>258617</v>
      </c>
      <c r="S17" s="126">
        <f t="shared" si="2"/>
        <v>298915</v>
      </c>
      <c r="T17" s="126">
        <f t="shared" ref="T17:U17" si="3">SUM(T5:T16)</f>
        <v>329821</v>
      </c>
      <c r="U17" s="126">
        <f t="shared" si="3"/>
        <v>362938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</row>
    <row r="20" spans="1:21" x14ac:dyDescent="0.2">
      <c r="H20" s="2"/>
      <c r="L20" s="94"/>
    </row>
    <row r="21" spans="1:21" x14ac:dyDescent="0.2">
      <c r="A21" s="24" t="s">
        <v>89</v>
      </c>
      <c r="B21" s="148">
        <v>5.0000000000000001E-3</v>
      </c>
      <c r="D21" s="94" t="s">
        <v>200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12"/>
      <c r="G24" s="1">
        <v>600</v>
      </c>
      <c r="H24" s="2">
        <v>1922</v>
      </c>
      <c r="I24" s="2">
        <v>17600</v>
      </c>
      <c r="J24" s="2">
        <v>1285</v>
      </c>
      <c r="K24" s="2">
        <v>359</v>
      </c>
      <c r="L24" s="102">
        <v>417</v>
      </c>
      <c r="M24" s="117">
        <v>389</v>
      </c>
      <c r="N24" s="117">
        <v>275</v>
      </c>
      <c r="O24" s="117">
        <v>337</v>
      </c>
      <c r="P24" s="117">
        <v>2410</v>
      </c>
      <c r="Q24" s="117">
        <v>1090</v>
      </c>
      <c r="R24" s="1">
        <v>852</v>
      </c>
      <c r="S24" s="117">
        <v>655</v>
      </c>
      <c r="T24" s="1">
        <v>771</v>
      </c>
      <c r="U24" s="1">
        <v>13738</v>
      </c>
    </row>
    <row r="25" spans="1:21" x14ac:dyDescent="0.2">
      <c r="A25" s="26" t="s">
        <v>1</v>
      </c>
      <c r="B25" s="22"/>
      <c r="C25" s="22"/>
      <c r="D25" s="12"/>
      <c r="E25" s="12"/>
      <c r="F25" s="12"/>
      <c r="G25" s="1">
        <v>156</v>
      </c>
      <c r="H25" s="2">
        <v>724</v>
      </c>
      <c r="I25" s="2">
        <v>5894</v>
      </c>
      <c r="J25" s="2">
        <v>496</v>
      </c>
      <c r="K25" s="2">
        <v>2660</v>
      </c>
      <c r="L25" s="102">
        <v>297</v>
      </c>
      <c r="M25" s="117">
        <v>229</v>
      </c>
      <c r="N25" s="117">
        <v>173</v>
      </c>
      <c r="O25" s="117">
        <v>216</v>
      </c>
      <c r="P25" s="117">
        <v>662</v>
      </c>
      <c r="Q25" s="117">
        <v>897</v>
      </c>
      <c r="R25" s="1">
        <v>2246</v>
      </c>
      <c r="S25" s="1">
        <v>408</v>
      </c>
      <c r="T25" s="1">
        <v>707</v>
      </c>
      <c r="U25" s="1">
        <v>515</v>
      </c>
    </row>
    <row r="26" spans="1:21" x14ac:dyDescent="0.2">
      <c r="A26" s="26" t="s">
        <v>2</v>
      </c>
      <c r="B26" s="22"/>
      <c r="C26" s="22"/>
      <c r="D26" s="12"/>
      <c r="E26" s="12"/>
      <c r="F26" s="12"/>
      <c r="G26" s="1">
        <v>777</v>
      </c>
      <c r="H26" s="2">
        <v>817</v>
      </c>
      <c r="I26" s="2">
        <v>29357</v>
      </c>
      <c r="J26" s="2">
        <v>-357</v>
      </c>
      <c r="K26" s="2">
        <v>1353</v>
      </c>
      <c r="L26" s="102">
        <v>222</v>
      </c>
      <c r="M26" s="117">
        <v>345</v>
      </c>
      <c r="N26" s="117">
        <v>205</v>
      </c>
      <c r="O26" s="117">
        <v>91</v>
      </c>
      <c r="P26" s="117">
        <v>234</v>
      </c>
      <c r="Q26" s="117">
        <v>859</v>
      </c>
      <c r="R26" s="1">
        <v>1628</v>
      </c>
      <c r="S26" s="117">
        <v>838</v>
      </c>
      <c r="T26" s="1">
        <v>325</v>
      </c>
      <c r="U26" s="117">
        <v>721</v>
      </c>
    </row>
    <row r="27" spans="1:21" x14ac:dyDescent="0.2">
      <c r="A27" s="26" t="s">
        <v>3</v>
      </c>
      <c r="B27" s="22"/>
      <c r="C27" s="22"/>
      <c r="D27" s="12"/>
      <c r="E27" s="12"/>
      <c r="F27" s="12"/>
      <c r="G27" s="1">
        <v>285</v>
      </c>
      <c r="H27" s="2">
        <v>810</v>
      </c>
      <c r="I27" s="2">
        <v>33899</v>
      </c>
      <c r="J27" s="2">
        <v>-126</v>
      </c>
      <c r="K27" s="2">
        <v>219</v>
      </c>
      <c r="L27" s="102">
        <v>244</v>
      </c>
      <c r="M27" s="117">
        <v>2231</v>
      </c>
      <c r="N27" s="117">
        <v>151</v>
      </c>
      <c r="O27" s="117">
        <v>100</v>
      </c>
      <c r="P27" s="117">
        <v>289</v>
      </c>
      <c r="Q27" s="117">
        <v>222</v>
      </c>
      <c r="R27" s="117">
        <v>411</v>
      </c>
      <c r="S27" s="117">
        <v>937</v>
      </c>
      <c r="T27" s="1">
        <v>678</v>
      </c>
      <c r="U27" s="1">
        <v>263</v>
      </c>
    </row>
    <row r="28" spans="1:21" x14ac:dyDescent="0.2">
      <c r="A28" s="26" t="s">
        <v>4</v>
      </c>
      <c r="B28" s="22"/>
      <c r="C28" s="22"/>
      <c r="D28" s="12"/>
      <c r="E28" s="12"/>
      <c r="F28" s="12"/>
      <c r="G28" s="1">
        <v>346</v>
      </c>
      <c r="H28" s="2">
        <v>-171</v>
      </c>
      <c r="I28" s="2">
        <v>5881</v>
      </c>
      <c r="J28" s="2">
        <v>359</v>
      </c>
      <c r="K28" s="2">
        <v>326</v>
      </c>
      <c r="L28" s="102">
        <v>566</v>
      </c>
      <c r="M28" s="117">
        <v>630</v>
      </c>
      <c r="N28" s="117">
        <v>203</v>
      </c>
      <c r="O28" s="117">
        <v>419</v>
      </c>
      <c r="P28" s="117">
        <v>750</v>
      </c>
      <c r="Q28" s="117">
        <v>504</v>
      </c>
      <c r="R28" s="117">
        <v>1796</v>
      </c>
      <c r="S28" s="1">
        <v>525</v>
      </c>
      <c r="T28" s="1">
        <v>1573</v>
      </c>
      <c r="U28" s="1">
        <v>202</v>
      </c>
    </row>
    <row r="29" spans="1:21" x14ac:dyDescent="0.2">
      <c r="A29" s="26" t="s">
        <v>5</v>
      </c>
      <c r="B29" s="22"/>
      <c r="C29" s="22"/>
      <c r="D29" s="12"/>
      <c r="E29" s="12"/>
      <c r="F29" s="12"/>
      <c r="G29" s="1">
        <v>170</v>
      </c>
      <c r="H29" s="2">
        <v>210</v>
      </c>
      <c r="I29" s="2">
        <v>6003</v>
      </c>
      <c r="J29" s="2">
        <v>1104</v>
      </c>
      <c r="K29" s="2">
        <v>-162</v>
      </c>
      <c r="L29" s="102">
        <v>627</v>
      </c>
      <c r="M29" s="117">
        <v>868</v>
      </c>
      <c r="N29" s="117">
        <v>380</v>
      </c>
      <c r="O29" s="117">
        <v>-413</v>
      </c>
      <c r="P29" s="117">
        <v>1700</v>
      </c>
      <c r="Q29" s="117">
        <v>226</v>
      </c>
      <c r="R29" s="1">
        <v>475</v>
      </c>
      <c r="S29" s="1">
        <v>1319</v>
      </c>
      <c r="T29" s="1">
        <v>348</v>
      </c>
      <c r="U29" s="1">
        <v>2329</v>
      </c>
    </row>
    <row r="30" spans="1:21" x14ac:dyDescent="0.2">
      <c r="A30" s="26" t="s">
        <v>6</v>
      </c>
      <c r="B30" s="22"/>
      <c r="C30" s="22"/>
      <c r="D30" s="12"/>
      <c r="E30" s="12"/>
      <c r="F30" s="12"/>
      <c r="G30" s="1">
        <v>359</v>
      </c>
      <c r="H30" s="2">
        <v>285</v>
      </c>
      <c r="I30" s="2">
        <v>285</v>
      </c>
      <c r="J30" s="2">
        <v>360</v>
      </c>
      <c r="K30" s="2">
        <v>403</v>
      </c>
      <c r="L30" s="102">
        <v>778</v>
      </c>
      <c r="M30" s="117">
        <v>439</v>
      </c>
      <c r="N30" s="117">
        <v>112</v>
      </c>
      <c r="O30" s="117">
        <v>2634</v>
      </c>
      <c r="P30" s="117">
        <v>872</v>
      </c>
      <c r="Q30" s="117">
        <v>511</v>
      </c>
      <c r="R30" s="1">
        <v>555</v>
      </c>
      <c r="S30" s="1">
        <v>1221</v>
      </c>
      <c r="T30" s="1">
        <v>-1643</v>
      </c>
      <c r="U30" s="1">
        <v>387</v>
      </c>
    </row>
    <row r="31" spans="1:21" x14ac:dyDescent="0.2">
      <c r="A31" s="26" t="s">
        <v>7</v>
      </c>
      <c r="B31" s="22"/>
      <c r="C31" s="22"/>
      <c r="D31" s="12"/>
      <c r="E31" s="12"/>
      <c r="F31" s="12"/>
      <c r="G31" s="1">
        <v>149</v>
      </c>
      <c r="H31" s="2">
        <v>191</v>
      </c>
      <c r="I31" s="2">
        <v>585</v>
      </c>
      <c r="J31" s="2">
        <v>563</v>
      </c>
      <c r="K31" s="2">
        <v>226</v>
      </c>
      <c r="L31" s="102">
        <v>363</v>
      </c>
      <c r="M31" s="117">
        <v>322</v>
      </c>
      <c r="N31" s="117">
        <v>126</v>
      </c>
      <c r="O31" s="117">
        <v>300</v>
      </c>
      <c r="P31" s="117">
        <v>459</v>
      </c>
      <c r="Q31" s="117">
        <v>650</v>
      </c>
      <c r="R31" s="117">
        <v>928</v>
      </c>
      <c r="S31" s="117">
        <v>528</v>
      </c>
      <c r="T31" s="1">
        <v>1323</v>
      </c>
      <c r="U31" s="117">
        <v>275</v>
      </c>
    </row>
    <row r="32" spans="1:21" x14ac:dyDescent="0.2">
      <c r="A32" s="26" t="s">
        <v>8</v>
      </c>
      <c r="B32" s="22"/>
      <c r="C32" s="22"/>
      <c r="D32" s="12"/>
      <c r="E32" s="12"/>
      <c r="F32" s="12"/>
      <c r="G32" s="1">
        <v>132</v>
      </c>
      <c r="H32" s="2">
        <v>715</v>
      </c>
      <c r="I32" s="2">
        <v>5573</v>
      </c>
      <c r="J32" s="2">
        <v>260</v>
      </c>
      <c r="K32" s="2">
        <v>436</v>
      </c>
      <c r="L32" s="102">
        <v>357</v>
      </c>
      <c r="M32" s="117">
        <v>783</v>
      </c>
      <c r="N32" s="117">
        <v>123</v>
      </c>
      <c r="O32" s="117">
        <v>204</v>
      </c>
      <c r="P32" s="117">
        <v>351</v>
      </c>
      <c r="Q32" s="117">
        <v>461</v>
      </c>
      <c r="R32" s="2">
        <v>492</v>
      </c>
      <c r="S32" s="1">
        <v>2480</v>
      </c>
      <c r="T32" s="1">
        <v>1581</v>
      </c>
      <c r="U32" s="1">
        <v>738</v>
      </c>
    </row>
    <row r="33" spans="1:21" x14ac:dyDescent="0.2">
      <c r="A33" s="26" t="s">
        <v>9</v>
      </c>
      <c r="B33" s="22"/>
      <c r="C33" s="22"/>
      <c r="D33" s="12"/>
      <c r="E33" s="12"/>
      <c r="F33" s="12"/>
      <c r="G33" s="1">
        <v>1883</v>
      </c>
      <c r="H33" s="2">
        <v>211</v>
      </c>
      <c r="I33" s="2">
        <v>1113</v>
      </c>
      <c r="J33" s="2">
        <v>242</v>
      </c>
      <c r="K33" s="2">
        <v>1910</v>
      </c>
      <c r="L33" s="102">
        <v>-12</v>
      </c>
      <c r="M33" s="117">
        <v>490</v>
      </c>
      <c r="N33" s="117">
        <v>200</v>
      </c>
      <c r="O33" s="117">
        <v>325</v>
      </c>
      <c r="P33" s="117">
        <v>92</v>
      </c>
      <c r="Q33" s="117">
        <v>1016</v>
      </c>
      <c r="R33" s="1">
        <v>543</v>
      </c>
      <c r="S33" s="1">
        <v>2349</v>
      </c>
      <c r="T33" s="1">
        <v>548</v>
      </c>
      <c r="U33" s="1">
        <v>1193</v>
      </c>
    </row>
    <row r="34" spans="1:21" x14ac:dyDescent="0.2">
      <c r="A34" s="26" t="s">
        <v>10</v>
      </c>
      <c r="B34" s="22"/>
      <c r="C34" s="22"/>
      <c r="D34" s="12"/>
      <c r="E34" s="12"/>
      <c r="F34" s="12"/>
      <c r="G34" s="1">
        <v>1117</v>
      </c>
      <c r="H34" s="2">
        <v>267</v>
      </c>
      <c r="I34" s="2">
        <v>1592</v>
      </c>
      <c r="J34" s="2">
        <v>211</v>
      </c>
      <c r="K34" s="2">
        <v>612</v>
      </c>
      <c r="L34" s="102">
        <v>281</v>
      </c>
      <c r="M34" s="117">
        <v>1082</v>
      </c>
      <c r="N34" s="117">
        <v>444</v>
      </c>
      <c r="O34" s="117">
        <v>929</v>
      </c>
      <c r="P34" s="117">
        <v>262</v>
      </c>
      <c r="Q34" s="117">
        <v>2228</v>
      </c>
      <c r="R34" s="1">
        <v>10659</v>
      </c>
      <c r="S34" s="1">
        <v>844</v>
      </c>
      <c r="T34" s="1">
        <v>1092</v>
      </c>
      <c r="U34" s="1">
        <v>1117</v>
      </c>
    </row>
    <row r="35" spans="1:21" x14ac:dyDescent="0.2">
      <c r="A35" s="26" t="s">
        <v>11</v>
      </c>
      <c r="B35" s="23"/>
      <c r="C35" s="23"/>
      <c r="D35" s="23"/>
      <c r="E35" s="23"/>
      <c r="F35" s="37">
        <v>868</v>
      </c>
      <c r="G35" s="39">
        <v>1998</v>
      </c>
      <c r="H35" s="40">
        <v>1431</v>
      </c>
      <c r="I35" s="40">
        <v>1038</v>
      </c>
      <c r="J35" s="40">
        <v>667</v>
      </c>
      <c r="K35" s="40">
        <v>465</v>
      </c>
      <c r="L35" s="95">
        <v>663</v>
      </c>
      <c r="M35" s="95">
        <v>448</v>
      </c>
      <c r="N35" s="95">
        <v>1134</v>
      </c>
      <c r="O35" s="95">
        <v>297</v>
      </c>
      <c r="P35" s="95">
        <v>299</v>
      </c>
      <c r="Q35" s="95">
        <v>577</v>
      </c>
      <c r="R35" s="1">
        <v>347</v>
      </c>
      <c r="S35" s="1">
        <v>958</v>
      </c>
      <c r="T35" s="1">
        <v>656</v>
      </c>
      <c r="U35" s="1">
        <v>548</v>
      </c>
    </row>
    <row r="36" spans="1:21" x14ac:dyDescent="0.2">
      <c r="A36" s="25"/>
      <c r="B36" s="14"/>
      <c r="C36" s="14"/>
      <c r="D36" s="14"/>
      <c r="E36" s="14"/>
      <c r="F36" s="41">
        <f t="shared" ref="F36:K36" si="4">SUM(F24:F35)</f>
        <v>868</v>
      </c>
      <c r="G36" s="41">
        <f t="shared" si="4"/>
        <v>7972</v>
      </c>
      <c r="H36" s="41">
        <f t="shared" si="4"/>
        <v>7412</v>
      </c>
      <c r="I36" s="44">
        <f t="shared" si="4"/>
        <v>108820</v>
      </c>
      <c r="J36" s="44">
        <f t="shared" si="4"/>
        <v>5064</v>
      </c>
      <c r="K36" s="44">
        <f t="shared" si="4"/>
        <v>8807</v>
      </c>
      <c r="L36" s="96">
        <f t="shared" ref="L36:Q36" si="5">SUM(L24:L35)</f>
        <v>4803</v>
      </c>
      <c r="M36" s="96">
        <f t="shared" si="5"/>
        <v>8256</v>
      </c>
      <c r="N36" s="96">
        <f t="shared" si="5"/>
        <v>3526</v>
      </c>
      <c r="O36" s="96">
        <f t="shared" si="5"/>
        <v>5439</v>
      </c>
      <c r="P36" s="96">
        <f t="shared" si="5"/>
        <v>8380</v>
      </c>
      <c r="Q36" s="96">
        <f t="shared" si="5"/>
        <v>9241</v>
      </c>
      <c r="R36" s="126">
        <f t="shared" ref="R36:S36" si="6">SUM(R24:R35)</f>
        <v>20932</v>
      </c>
      <c r="S36" s="126">
        <f t="shared" si="6"/>
        <v>13062</v>
      </c>
      <c r="T36" s="126">
        <f t="shared" ref="T36:U36" si="7">SUM(T24:T35)</f>
        <v>7959</v>
      </c>
      <c r="U36" s="126">
        <f t="shared" si="7"/>
        <v>22026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G38" s="7"/>
      <c r="H38" s="2"/>
    </row>
    <row r="39" spans="1:21" x14ac:dyDescent="0.2">
      <c r="A39" s="29" t="s">
        <v>264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">
        <v>-2901</v>
      </c>
      <c r="U42" s="117">
        <v>-8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-2569</v>
      </c>
      <c r="I43" s="2">
        <v>0</v>
      </c>
      <c r="J43" s="2">
        <v>0</v>
      </c>
      <c r="K43" s="2">
        <v>-991</v>
      </c>
      <c r="L43" s="2">
        <v>-97</v>
      </c>
      <c r="M43" s="2">
        <v>0</v>
      </c>
      <c r="N43" s="2">
        <v>-442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-1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0</v>
      </c>
      <c r="H44" s="2">
        <v>0</v>
      </c>
      <c r="I44" s="2">
        <v>0</v>
      </c>
      <c r="J44" s="2">
        <v>-32657</v>
      </c>
      <c r="K44" s="2">
        <v>0</v>
      </c>
      <c r="L44" s="2">
        <v>0</v>
      </c>
      <c r="M44" s="2">
        <v>0</v>
      </c>
      <c r="N44" s="2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117">
        <v>0</v>
      </c>
      <c r="P45" s="117">
        <v>0</v>
      </c>
      <c r="Q45" s="117">
        <v>-582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0</v>
      </c>
      <c r="I46" s="2">
        <v>0</v>
      </c>
      <c r="J46" s="2">
        <v>-1</v>
      </c>
      <c r="K46" s="2">
        <v>0</v>
      </c>
      <c r="L46" s="2">
        <v>0</v>
      </c>
      <c r="M46" s="2">
        <v>0</v>
      </c>
      <c r="N46" s="2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0</v>
      </c>
      <c r="H48" s="2">
        <v>0</v>
      </c>
      <c r="I48" s="2">
        <v>0</v>
      </c>
      <c r="J48" s="2">
        <v>-22094</v>
      </c>
      <c r="K48" s="2">
        <v>-310</v>
      </c>
      <c r="L48" s="2">
        <v>0</v>
      </c>
      <c r="M48" s="2">
        <v>0</v>
      </c>
      <c r="N48" s="2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-3</v>
      </c>
      <c r="T48" s="1">
        <v>0</v>
      </c>
      <c r="U48" s="117">
        <v>-3939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0</v>
      </c>
      <c r="I49" s="2">
        <v>0</v>
      </c>
      <c r="J49" s="2">
        <v>0</v>
      </c>
      <c r="K49" s="2">
        <v>-1</v>
      </c>
      <c r="L49" s="2">
        <v>0</v>
      </c>
      <c r="M49" s="2">
        <v>-49</v>
      </c>
      <c r="N49" s="2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-20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-368</v>
      </c>
      <c r="J50" s="2">
        <v>-2064</v>
      </c>
      <c r="K50" s="2">
        <v>0</v>
      </c>
      <c r="L50" s="2">
        <v>0</v>
      </c>
      <c r="M50" s="2">
        <v>0</v>
      </c>
      <c r="N50" s="2">
        <v>0</v>
      </c>
      <c r="O50" s="117">
        <v>-5778</v>
      </c>
      <c r="P50" s="117">
        <v>0</v>
      </c>
      <c r="Q50" s="117">
        <v>0</v>
      </c>
      <c r="R50" s="117">
        <v>0</v>
      </c>
      <c r="S50" s="117">
        <v>0</v>
      </c>
      <c r="T50" s="1">
        <v>-71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0</v>
      </c>
      <c r="H51" s="2">
        <v>0</v>
      </c>
      <c r="I51" s="2">
        <v>-80143</v>
      </c>
      <c r="J51" s="2">
        <v>0</v>
      </c>
      <c r="K51" s="2">
        <v>-41</v>
      </c>
      <c r="L51" s="2">
        <v>-11256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-2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N54" si="8">SUM(G42:G53)</f>
        <v>0</v>
      </c>
      <c r="H54" s="126">
        <f t="shared" si="8"/>
        <v>-2569</v>
      </c>
      <c r="I54" s="126">
        <f t="shared" si="8"/>
        <v>-80511</v>
      </c>
      <c r="J54" s="126">
        <f t="shared" si="8"/>
        <v>-56816</v>
      </c>
      <c r="K54" s="126">
        <f t="shared" si="8"/>
        <v>-1343</v>
      </c>
      <c r="L54" s="126">
        <f t="shared" si="8"/>
        <v>-11353</v>
      </c>
      <c r="M54" s="126">
        <f t="shared" si="8"/>
        <v>-49</v>
      </c>
      <c r="N54" s="126">
        <f t="shared" si="8"/>
        <v>-442</v>
      </c>
      <c r="O54" s="96">
        <f>SUM(O42:O53)</f>
        <v>-5778</v>
      </c>
      <c r="P54" s="96">
        <f>SUM(P42:P53)</f>
        <v>0</v>
      </c>
      <c r="Q54" s="96">
        <f>SUM(Q42:Q53)</f>
        <v>-582</v>
      </c>
      <c r="R54" s="126">
        <f t="shared" ref="R54" si="9">SUM(R42:R53)</f>
        <v>-2</v>
      </c>
      <c r="S54" s="126">
        <f>SUM(S42:S53)</f>
        <v>-3</v>
      </c>
      <c r="T54" s="126">
        <f t="shared" ref="T54" si="10">SUM(T42:T53)</f>
        <v>-2972</v>
      </c>
      <c r="U54" s="126">
        <f>SUM(U42:U53)</f>
        <v>-3968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/>
  <dimension ref="A2:U54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5" bestFit="1" customWidth="1"/>
    <col min="7" max="8" width="9.140625" bestFit="1" customWidth="1"/>
    <col min="9" max="10" width="8.85546875" bestFit="1" customWidth="1"/>
    <col min="11" max="11" width="9.85546875" bestFit="1" customWidth="1"/>
    <col min="12" max="14" width="9.28515625" bestFit="1" customWidth="1"/>
    <col min="15" max="16" width="10.7109375" bestFit="1" customWidth="1"/>
    <col min="18" max="18" width="9.28515625" bestFit="1" customWidth="1"/>
    <col min="19" max="21" width="10.7109375" bestFit="1" customWidth="1"/>
  </cols>
  <sheetData>
    <row r="2" spans="1:21" x14ac:dyDescent="0.2">
      <c r="A2" s="24" t="s">
        <v>86</v>
      </c>
      <c r="B2" s="148">
        <v>5.0000000000000001E-3</v>
      </c>
      <c r="D2" s="94" t="s">
        <v>188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>
        <v>61703</v>
      </c>
      <c r="I5" s="2">
        <v>79250</v>
      </c>
      <c r="J5" s="2">
        <v>70506</v>
      </c>
      <c r="K5" s="2">
        <v>76755</v>
      </c>
      <c r="L5" s="102">
        <v>80527</v>
      </c>
      <c r="M5" s="117">
        <v>74503</v>
      </c>
      <c r="N5" s="117">
        <v>72069</v>
      </c>
      <c r="O5" s="117">
        <v>93656</v>
      </c>
      <c r="P5" s="117">
        <v>80423</v>
      </c>
      <c r="Q5" s="117">
        <v>3170</v>
      </c>
      <c r="R5" s="1">
        <v>82</v>
      </c>
      <c r="S5" s="1">
        <v>100193</v>
      </c>
      <c r="T5" s="1">
        <v>112681</v>
      </c>
      <c r="U5" s="1">
        <v>116163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>
        <v>44644</v>
      </c>
      <c r="I6" s="2">
        <v>52194</v>
      </c>
      <c r="J6" s="2">
        <v>55810</v>
      </c>
      <c r="K6" s="2">
        <v>60031</v>
      </c>
      <c r="L6" s="102">
        <v>59597</v>
      </c>
      <c r="M6" s="117">
        <v>64283</v>
      </c>
      <c r="N6" s="117">
        <v>65708</v>
      </c>
      <c r="O6" s="117">
        <v>70572</v>
      </c>
      <c r="P6" s="117">
        <v>72888</v>
      </c>
      <c r="Q6" s="117">
        <v>1016</v>
      </c>
      <c r="R6" s="1">
        <v>62490</v>
      </c>
      <c r="S6" s="1">
        <v>81161</v>
      </c>
      <c r="T6" s="1">
        <v>86951</v>
      </c>
      <c r="U6" s="1">
        <v>87986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>
        <v>43070</v>
      </c>
      <c r="I7" s="2">
        <v>49450</v>
      </c>
      <c r="J7" s="2">
        <v>51367</v>
      </c>
      <c r="K7" s="2">
        <v>52207</v>
      </c>
      <c r="L7" s="106">
        <v>50094</v>
      </c>
      <c r="M7" s="117">
        <v>63826</v>
      </c>
      <c r="N7" s="117">
        <v>48617</v>
      </c>
      <c r="O7" s="117">
        <v>63709</v>
      </c>
      <c r="P7" s="117">
        <v>58399</v>
      </c>
      <c r="Q7" s="117">
        <v>19</v>
      </c>
      <c r="R7" s="1">
        <v>65994</v>
      </c>
      <c r="S7" s="1">
        <v>77853</v>
      </c>
      <c r="T7" s="1">
        <v>95412</v>
      </c>
      <c r="U7" s="1">
        <v>95952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>
        <v>1</v>
      </c>
      <c r="H8" s="54">
        <v>61300</v>
      </c>
      <c r="I8" s="2">
        <v>64221</v>
      </c>
      <c r="J8" s="2">
        <v>66265</v>
      </c>
      <c r="K8" s="2">
        <v>65859</v>
      </c>
      <c r="L8" s="106">
        <v>65573</v>
      </c>
      <c r="M8" s="117">
        <v>63004</v>
      </c>
      <c r="N8" s="117">
        <v>73462</v>
      </c>
      <c r="O8" s="117">
        <v>71701</v>
      </c>
      <c r="P8" s="117">
        <v>76715</v>
      </c>
      <c r="Q8" s="117">
        <v>712</v>
      </c>
      <c r="R8" s="1">
        <v>72423</v>
      </c>
      <c r="S8" s="1">
        <v>95995</v>
      </c>
      <c r="T8" s="1">
        <v>105484</v>
      </c>
      <c r="U8" s="1">
        <v>100720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>
        <v>44853</v>
      </c>
      <c r="H9" s="54">
        <v>56651</v>
      </c>
      <c r="I9" s="2">
        <v>56453</v>
      </c>
      <c r="J9" s="2">
        <v>56730</v>
      </c>
      <c r="K9" s="2">
        <v>60864</v>
      </c>
      <c r="L9" s="106">
        <v>55238</v>
      </c>
      <c r="M9" s="117">
        <v>59489</v>
      </c>
      <c r="N9" s="117">
        <v>64548</v>
      </c>
      <c r="O9" s="117">
        <v>72990</v>
      </c>
      <c r="P9" s="117">
        <v>68607</v>
      </c>
      <c r="Q9" s="117">
        <v>202</v>
      </c>
      <c r="R9" s="1">
        <v>68777</v>
      </c>
      <c r="S9" s="1">
        <v>95369</v>
      </c>
      <c r="T9" s="1">
        <v>87829</v>
      </c>
      <c r="U9" s="1">
        <v>104989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>
        <v>48657</v>
      </c>
      <c r="H10" s="54">
        <v>57441</v>
      </c>
      <c r="I10" s="2">
        <v>65284</v>
      </c>
      <c r="J10" s="2">
        <v>63879</v>
      </c>
      <c r="K10" s="2">
        <v>70914</v>
      </c>
      <c r="L10" s="106">
        <v>65133</v>
      </c>
      <c r="M10" s="117">
        <v>72926</v>
      </c>
      <c r="N10" s="117">
        <v>75333</v>
      </c>
      <c r="O10" s="117">
        <v>86629</v>
      </c>
      <c r="P10" s="117">
        <v>87188</v>
      </c>
      <c r="Q10" s="117">
        <v>271</v>
      </c>
      <c r="R10" s="1">
        <v>79291</v>
      </c>
      <c r="S10" s="1">
        <v>94778</v>
      </c>
      <c r="T10" s="1">
        <v>99470</v>
      </c>
      <c r="U10" s="1">
        <v>120058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>
        <v>41795</v>
      </c>
      <c r="H11" s="54">
        <v>53802</v>
      </c>
      <c r="I11" s="2">
        <v>54940</v>
      </c>
      <c r="J11" s="2">
        <v>65543</v>
      </c>
      <c r="K11" s="2">
        <v>74426</v>
      </c>
      <c r="L11" s="106">
        <v>65015</v>
      </c>
      <c r="M11" s="117">
        <v>68291</v>
      </c>
      <c r="N11" s="117">
        <v>79758</v>
      </c>
      <c r="O11" s="117">
        <v>195683</v>
      </c>
      <c r="P11" s="117">
        <v>77360</v>
      </c>
      <c r="Q11" s="117">
        <v>57</v>
      </c>
      <c r="R11" s="1">
        <v>87324</v>
      </c>
      <c r="S11" s="1">
        <v>103992</v>
      </c>
      <c r="T11" s="1">
        <v>114691</v>
      </c>
      <c r="U11" s="1">
        <v>117680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>
        <v>61687</v>
      </c>
      <c r="H12" s="54">
        <v>75081</v>
      </c>
      <c r="I12" s="2">
        <v>71466</v>
      </c>
      <c r="J12" s="2">
        <v>70980</v>
      </c>
      <c r="K12" s="2">
        <v>73173</v>
      </c>
      <c r="L12" s="106">
        <v>74253</v>
      </c>
      <c r="M12" s="117">
        <v>83811</v>
      </c>
      <c r="N12" s="117">
        <v>77568</v>
      </c>
      <c r="O12" s="117">
        <v>501899</v>
      </c>
      <c r="P12" s="117">
        <v>98870</v>
      </c>
      <c r="Q12" s="117">
        <v>-208</v>
      </c>
      <c r="R12" s="1">
        <v>93180</v>
      </c>
      <c r="S12" s="1">
        <v>107938</v>
      </c>
      <c r="T12" s="1">
        <v>99691</v>
      </c>
      <c r="U12" s="1">
        <v>95821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>
        <v>54449</v>
      </c>
      <c r="H13" s="54">
        <v>62026</v>
      </c>
      <c r="I13" s="2">
        <v>69219</v>
      </c>
      <c r="J13" s="2">
        <v>63983</v>
      </c>
      <c r="K13" s="2">
        <v>67676</v>
      </c>
      <c r="L13" s="106">
        <v>65077</v>
      </c>
      <c r="M13" s="117">
        <v>65781</v>
      </c>
      <c r="N13" s="117">
        <v>77898</v>
      </c>
      <c r="O13" s="117">
        <v>75973</v>
      </c>
      <c r="P13" s="117">
        <v>85810</v>
      </c>
      <c r="Q13" s="117">
        <v>345</v>
      </c>
      <c r="R13" s="2">
        <v>84592</v>
      </c>
      <c r="S13" s="1">
        <v>98336</v>
      </c>
      <c r="T13" s="1">
        <v>111858</v>
      </c>
      <c r="U13" s="1">
        <v>113747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>
        <v>55462</v>
      </c>
      <c r="H14" s="54">
        <v>67110</v>
      </c>
      <c r="I14" s="2">
        <v>66078</v>
      </c>
      <c r="J14" s="2">
        <v>68496</v>
      </c>
      <c r="K14" s="2">
        <v>67702</v>
      </c>
      <c r="L14" s="106">
        <v>70053</v>
      </c>
      <c r="M14" s="117">
        <v>78026</v>
      </c>
      <c r="N14" s="117">
        <v>80250</v>
      </c>
      <c r="O14" s="117">
        <v>82456</v>
      </c>
      <c r="P14" s="117">
        <v>85884</v>
      </c>
      <c r="Q14" s="117">
        <v>2</v>
      </c>
      <c r="R14" s="1">
        <v>87090</v>
      </c>
      <c r="S14" s="1">
        <v>98639</v>
      </c>
      <c r="T14" s="1">
        <v>115193</v>
      </c>
      <c r="U14" s="1">
        <v>105998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>
        <v>49683</v>
      </c>
      <c r="H15" s="54">
        <v>54694</v>
      </c>
      <c r="I15" s="2">
        <v>70251</v>
      </c>
      <c r="J15" s="2">
        <v>67922</v>
      </c>
      <c r="K15" s="2">
        <v>59988</v>
      </c>
      <c r="L15" s="106">
        <v>67843</v>
      </c>
      <c r="M15" s="117">
        <v>81355</v>
      </c>
      <c r="N15" s="117">
        <v>72439</v>
      </c>
      <c r="O15" s="117">
        <v>72604</v>
      </c>
      <c r="P15" s="117">
        <v>332</v>
      </c>
      <c r="Q15" s="117">
        <v>268</v>
      </c>
      <c r="R15" s="1">
        <v>89794</v>
      </c>
      <c r="S15" s="1">
        <v>100742</v>
      </c>
      <c r="T15" s="1">
        <v>108460</v>
      </c>
      <c r="U15" s="1">
        <v>103793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>
        <v>47876</v>
      </c>
      <c r="H16" s="61">
        <v>59348</v>
      </c>
      <c r="I16" s="40">
        <v>62587</v>
      </c>
      <c r="J16" s="40">
        <v>66247</v>
      </c>
      <c r="K16" s="40">
        <v>70725</v>
      </c>
      <c r="L16" s="95">
        <v>65741</v>
      </c>
      <c r="M16" s="95">
        <v>63519</v>
      </c>
      <c r="N16" s="95">
        <v>76319</v>
      </c>
      <c r="O16" s="95">
        <v>79921</v>
      </c>
      <c r="P16" s="95">
        <v>1871</v>
      </c>
      <c r="Q16" s="95">
        <v>-1097</v>
      </c>
      <c r="R16" s="1">
        <v>89717</v>
      </c>
      <c r="S16" s="1">
        <v>100632</v>
      </c>
      <c r="T16" s="1">
        <v>109007</v>
      </c>
      <c r="U16" s="1">
        <v>102998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404463</v>
      </c>
      <c r="H17" s="41">
        <f t="shared" si="0"/>
        <v>696870</v>
      </c>
      <c r="I17" s="44">
        <f t="shared" si="0"/>
        <v>761393</v>
      </c>
      <c r="J17" s="44">
        <f t="shared" si="0"/>
        <v>767728</v>
      </c>
      <c r="K17" s="44">
        <f t="shared" si="0"/>
        <v>800320</v>
      </c>
      <c r="L17" s="96">
        <f t="shared" si="0"/>
        <v>784144</v>
      </c>
      <c r="M17" s="96">
        <f t="shared" ref="M17:Q17" si="1">SUM(M5:M16)</f>
        <v>838814</v>
      </c>
      <c r="N17" s="96">
        <f t="shared" si="1"/>
        <v>863969</v>
      </c>
      <c r="O17" s="96">
        <f t="shared" si="1"/>
        <v>1467793</v>
      </c>
      <c r="P17" s="96">
        <f t="shared" si="1"/>
        <v>794347</v>
      </c>
      <c r="Q17" s="96">
        <f t="shared" si="1"/>
        <v>4757</v>
      </c>
      <c r="R17" s="126">
        <f t="shared" ref="R17:S17" si="2">SUM(R5:R16)</f>
        <v>880754</v>
      </c>
      <c r="S17" s="126">
        <f t="shared" si="2"/>
        <v>1155628</v>
      </c>
      <c r="T17" s="126">
        <f t="shared" ref="T17:U17" si="3">SUM(T5:T16)</f>
        <v>1246727</v>
      </c>
      <c r="U17" s="126">
        <f t="shared" si="3"/>
        <v>1265905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  <c r="P19" s="94" t="s">
        <v>353</v>
      </c>
      <c r="R19" t="s">
        <v>439</v>
      </c>
    </row>
    <row r="20" spans="1:21" x14ac:dyDescent="0.2">
      <c r="H20" s="2"/>
      <c r="L20" s="94"/>
    </row>
    <row r="21" spans="1:21" x14ac:dyDescent="0.2">
      <c r="A21" s="24" t="s">
        <v>87</v>
      </c>
      <c r="B21" s="148">
        <v>5.0000000000000001E-3</v>
      </c>
      <c r="D21" s="94" t="s">
        <v>188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>
        <v>1799</v>
      </c>
      <c r="I24" s="2">
        <v>4026</v>
      </c>
      <c r="J24" s="2">
        <v>4027</v>
      </c>
      <c r="K24" s="2">
        <v>7818</v>
      </c>
      <c r="L24" s="102">
        <v>4873</v>
      </c>
      <c r="M24" s="117">
        <v>13470</v>
      </c>
      <c r="N24" s="117">
        <v>3466</v>
      </c>
      <c r="O24" s="117">
        <v>3000</v>
      </c>
      <c r="P24" s="117">
        <v>12680</v>
      </c>
      <c r="Q24" s="117">
        <v>304</v>
      </c>
      <c r="R24" s="1">
        <v>475</v>
      </c>
      <c r="S24" s="1">
        <v>4023</v>
      </c>
      <c r="T24" s="1">
        <v>8258</v>
      </c>
      <c r="U24" s="1">
        <v>4966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>
        <v>1961</v>
      </c>
      <c r="I25" s="2">
        <v>2506</v>
      </c>
      <c r="J25" s="2">
        <v>4151</v>
      </c>
      <c r="K25" s="2">
        <v>1743</v>
      </c>
      <c r="L25" s="102">
        <v>3968</v>
      </c>
      <c r="M25" s="117">
        <v>4230</v>
      </c>
      <c r="N25" s="117">
        <v>1737</v>
      </c>
      <c r="O25" s="117">
        <v>2521</v>
      </c>
      <c r="P25" s="117">
        <v>3250</v>
      </c>
      <c r="Q25" s="117">
        <v>123</v>
      </c>
      <c r="R25" s="1">
        <v>1878</v>
      </c>
      <c r="S25" s="1">
        <v>3733</v>
      </c>
      <c r="T25" s="1">
        <v>4117</v>
      </c>
      <c r="U25" s="1">
        <v>2953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>
        <v>1571</v>
      </c>
      <c r="I26" s="2">
        <v>7178</v>
      </c>
      <c r="J26" s="2">
        <v>1202</v>
      </c>
      <c r="K26" s="2">
        <v>2413</v>
      </c>
      <c r="L26" s="102">
        <v>6683</v>
      </c>
      <c r="M26" s="117">
        <v>1716</v>
      </c>
      <c r="N26" s="117">
        <v>1667</v>
      </c>
      <c r="O26" s="117">
        <v>1827</v>
      </c>
      <c r="P26" s="117">
        <v>10191</v>
      </c>
      <c r="Q26" s="117">
        <v>0</v>
      </c>
      <c r="R26" s="113">
        <v>2394</v>
      </c>
      <c r="S26" s="1">
        <v>9076</v>
      </c>
      <c r="T26" s="1">
        <v>9232</v>
      </c>
      <c r="U26" s="1">
        <v>2723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>
        <v>0</v>
      </c>
      <c r="H27" s="54">
        <v>2198</v>
      </c>
      <c r="I27" s="2">
        <v>3818</v>
      </c>
      <c r="J27" s="2">
        <v>2288</v>
      </c>
      <c r="K27" s="2">
        <v>2426</v>
      </c>
      <c r="L27" s="102">
        <v>1822</v>
      </c>
      <c r="M27" s="117">
        <v>2557</v>
      </c>
      <c r="N27" s="117">
        <v>2285</v>
      </c>
      <c r="O27" s="117">
        <v>3465</v>
      </c>
      <c r="P27" s="117">
        <v>3444</v>
      </c>
      <c r="Q27" s="117">
        <v>0</v>
      </c>
      <c r="R27" s="117">
        <v>4401</v>
      </c>
      <c r="S27" s="1">
        <v>2982</v>
      </c>
      <c r="T27" s="1">
        <v>7175</v>
      </c>
      <c r="U27" s="1">
        <v>4941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>
        <v>1337</v>
      </c>
      <c r="H28" s="54">
        <v>2146</v>
      </c>
      <c r="I28" s="2">
        <v>3801</v>
      </c>
      <c r="J28" s="2">
        <v>1434</v>
      </c>
      <c r="K28" s="2">
        <v>1681</v>
      </c>
      <c r="L28" s="102">
        <v>2833</v>
      </c>
      <c r="M28" s="117">
        <v>3968</v>
      </c>
      <c r="N28" s="117">
        <v>2480</v>
      </c>
      <c r="O28" s="117">
        <v>2586</v>
      </c>
      <c r="P28" s="117">
        <v>8849</v>
      </c>
      <c r="Q28" s="117">
        <v>0</v>
      </c>
      <c r="R28" s="117">
        <v>2434</v>
      </c>
      <c r="S28" s="1">
        <v>2919</v>
      </c>
      <c r="T28" s="1">
        <v>8577</v>
      </c>
      <c r="U28" s="1">
        <v>3675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>
        <v>1203</v>
      </c>
      <c r="H29" s="54">
        <v>3706</v>
      </c>
      <c r="I29" s="2">
        <v>1846</v>
      </c>
      <c r="J29" s="2">
        <v>6815</v>
      </c>
      <c r="K29" s="2">
        <v>1572</v>
      </c>
      <c r="L29" s="102">
        <v>1811</v>
      </c>
      <c r="M29" s="117">
        <v>2623</v>
      </c>
      <c r="N29" s="117">
        <v>2508</v>
      </c>
      <c r="O29" s="117">
        <v>2510</v>
      </c>
      <c r="P29" s="117">
        <v>3921</v>
      </c>
      <c r="Q29" s="117">
        <v>5383</v>
      </c>
      <c r="R29" s="113">
        <v>3176</v>
      </c>
      <c r="S29" s="1">
        <v>5391</v>
      </c>
      <c r="T29" s="1">
        <v>5188</v>
      </c>
      <c r="U29" s="1">
        <v>3996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>
        <v>792</v>
      </c>
      <c r="H30" s="54">
        <v>1868</v>
      </c>
      <c r="I30" s="2">
        <v>2854</v>
      </c>
      <c r="J30" s="2">
        <v>2531</v>
      </c>
      <c r="K30" s="2">
        <v>3626</v>
      </c>
      <c r="L30" s="102">
        <v>3421</v>
      </c>
      <c r="M30" s="117">
        <v>2396</v>
      </c>
      <c r="N30" s="117">
        <v>1565</v>
      </c>
      <c r="O30" s="117">
        <v>3167</v>
      </c>
      <c r="P30" s="117">
        <v>7913</v>
      </c>
      <c r="Q30" s="117">
        <v>1363</v>
      </c>
      <c r="R30" s="1">
        <v>3729</v>
      </c>
      <c r="S30" s="1">
        <v>4203</v>
      </c>
      <c r="T30" s="1">
        <v>5043</v>
      </c>
      <c r="U30" s="1">
        <v>8359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>
        <v>893</v>
      </c>
      <c r="H31" s="54">
        <v>1370</v>
      </c>
      <c r="I31" s="2">
        <v>2418</v>
      </c>
      <c r="J31" s="2">
        <v>2728</v>
      </c>
      <c r="K31" s="2">
        <v>4384</v>
      </c>
      <c r="L31" s="102">
        <v>4131</v>
      </c>
      <c r="M31" s="117">
        <v>2229</v>
      </c>
      <c r="N31" s="117">
        <v>2218</v>
      </c>
      <c r="O31" s="117">
        <v>15430</v>
      </c>
      <c r="P31" s="117">
        <v>5060</v>
      </c>
      <c r="Q31" s="117">
        <v>186</v>
      </c>
      <c r="R31" s="1">
        <v>3406</v>
      </c>
      <c r="S31" s="1">
        <v>2259</v>
      </c>
      <c r="T31" s="1">
        <v>4390</v>
      </c>
      <c r="U31" s="1">
        <v>2786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>
        <v>1329</v>
      </c>
      <c r="H32" s="54">
        <v>1634</v>
      </c>
      <c r="I32" s="2">
        <v>5367</v>
      </c>
      <c r="J32" s="2">
        <v>2018</v>
      </c>
      <c r="K32" s="2">
        <v>1558</v>
      </c>
      <c r="L32" s="102">
        <v>3611</v>
      </c>
      <c r="M32" s="117">
        <v>4660</v>
      </c>
      <c r="N32" s="117">
        <v>4010</v>
      </c>
      <c r="O32" s="117">
        <v>8406</v>
      </c>
      <c r="P32" s="117">
        <v>3941</v>
      </c>
      <c r="Q32" s="117">
        <v>-8550</v>
      </c>
      <c r="R32" s="2">
        <v>6209</v>
      </c>
      <c r="S32" s="1">
        <v>12844</v>
      </c>
      <c r="T32" s="1">
        <v>2267</v>
      </c>
      <c r="U32" s="1">
        <v>3934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>
        <v>1850</v>
      </c>
      <c r="H33" s="54">
        <v>-1351</v>
      </c>
      <c r="I33" s="2">
        <v>4367</v>
      </c>
      <c r="J33" s="2">
        <v>4161</v>
      </c>
      <c r="K33" s="2">
        <v>5233</v>
      </c>
      <c r="L33" s="102">
        <v>6236</v>
      </c>
      <c r="M33" s="117">
        <v>3848</v>
      </c>
      <c r="N33" s="117">
        <v>12859</v>
      </c>
      <c r="O33" s="117">
        <v>8455</v>
      </c>
      <c r="P33" s="117">
        <v>5565</v>
      </c>
      <c r="Q33" s="117">
        <v>475</v>
      </c>
      <c r="R33" s="1">
        <v>6274</v>
      </c>
      <c r="S33" s="1">
        <v>8977</v>
      </c>
      <c r="T33" s="1">
        <v>2878</v>
      </c>
      <c r="U33" s="1">
        <v>8042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>
        <v>1194</v>
      </c>
      <c r="H34" s="54">
        <v>2356</v>
      </c>
      <c r="I34" s="2">
        <v>2824</v>
      </c>
      <c r="J34" s="2">
        <v>1544</v>
      </c>
      <c r="K34" s="2">
        <v>6483</v>
      </c>
      <c r="L34" s="102">
        <v>4091</v>
      </c>
      <c r="M34" s="117">
        <v>3331</v>
      </c>
      <c r="N34" s="117">
        <v>3266</v>
      </c>
      <c r="O34" s="117">
        <v>3264</v>
      </c>
      <c r="P34" s="117">
        <v>1001</v>
      </c>
      <c r="Q34" s="117">
        <v>155</v>
      </c>
      <c r="R34" s="1">
        <v>3260</v>
      </c>
      <c r="S34" s="1">
        <v>3092</v>
      </c>
      <c r="T34" s="1">
        <v>4744</v>
      </c>
      <c r="U34" s="1">
        <v>4415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>
        <v>1203</v>
      </c>
      <c r="H35" s="61">
        <v>1747</v>
      </c>
      <c r="I35" s="40">
        <v>2208</v>
      </c>
      <c r="J35" s="40">
        <v>1982</v>
      </c>
      <c r="K35" s="40">
        <v>3345</v>
      </c>
      <c r="L35" s="95">
        <v>5291</v>
      </c>
      <c r="M35" s="95">
        <v>1174</v>
      </c>
      <c r="N35" s="95">
        <v>3587</v>
      </c>
      <c r="O35" s="95">
        <v>8150</v>
      </c>
      <c r="P35" s="168">
        <v>-23543</v>
      </c>
      <c r="Q35" s="168">
        <v>0</v>
      </c>
      <c r="R35" s="1">
        <v>18757</v>
      </c>
      <c r="S35" s="1">
        <v>1793</v>
      </c>
      <c r="T35" s="1">
        <v>2115</v>
      </c>
      <c r="U35" s="1">
        <v>3278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9801</v>
      </c>
      <c r="H36" s="44">
        <f t="shared" si="4"/>
        <v>21005</v>
      </c>
      <c r="I36" s="44">
        <f t="shared" si="4"/>
        <v>43213</v>
      </c>
      <c r="J36" s="44">
        <f t="shared" si="4"/>
        <v>34881</v>
      </c>
      <c r="K36" s="44">
        <f t="shared" si="4"/>
        <v>42282</v>
      </c>
      <c r="L36" s="96">
        <f t="shared" ref="L36:Q36" si="5">SUM(L24:L35)</f>
        <v>48771</v>
      </c>
      <c r="M36" s="96">
        <f t="shared" si="5"/>
        <v>46202</v>
      </c>
      <c r="N36" s="96">
        <f t="shared" si="5"/>
        <v>41648</v>
      </c>
      <c r="O36" s="96">
        <f t="shared" si="5"/>
        <v>62781</v>
      </c>
      <c r="P36" s="96">
        <f t="shared" si="5"/>
        <v>42272</v>
      </c>
      <c r="Q36" s="96">
        <f t="shared" si="5"/>
        <v>-561</v>
      </c>
      <c r="R36" s="126">
        <f t="shared" ref="R36:S36" si="6">SUM(R24:R35)</f>
        <v>56393</v>
      </c>
      <c r="S36" s="126">
        <f t="shared" si="6"/>
        <v>61292</v>
      </c>
      <c r="T36" s="126">
        <f t="shared" ref="T36:U36" si="7">SUM(T24:T35)</f>
        <v>63984</v>
      </c>
      <c r="U36" s="126">
        <f t="shared" si="7"/>
        <v>54068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H38" s="2"/>
    </row>
    <row r="39" spans="1:21" x14ac:dyDescent="0.2">
      <c r="A39" s="29" t="s">
        <v>265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2"/>
      <c r="H42" s="2">
        <v>0</v>
      </c>
      <c r="I42" s="2">
        <v>0</v>
      </c>
      <c r="J42" s="2">
        <v>0</v>
      </c>
      <c r="K42" s="2">
        <v>-3272</v>
      </c>
      <c r="L42" s="2">
        <v>0</v>
      </c>
      <c r="M42" s="2">
        <v>0</v>
      </c>
      <c r="N42" s="2">
        <v>-709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2"/>
      <c r="H43" s="2">
        <v>-22288</v>
      </c>
      <c r="I43" s="2">
        <v>-46561</v>
      </c>
      <c r="J43" s="2">
        <v>-1</v>
      </c>
      <c r="K43" s="2">
        <v>-633</v>
      </c>
      <c r="L43" s="2">
        <v>-498</v>
      </c>
      <c r="M43" s="2">
        <v>0</v>
      </c>
      <c r="N43" s="2">
        <v>-21619</v>
      </c>
      <c r="O43" s="117">
        <v>0</v>
      </c>
      <c r="P43" s="117">
        <v>0</v>
      </c>
      <c r="Q43" s="117">
        <v>0</v>
      </c>
      <c r="R43" s="117">
        <v>0</v>
      </c>
      <c r="S43" s="117">
        <v>-1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2"/>
      <c r="H44" s="2">
        <v>-68</v>
      </c>
      <c r="I44" s="2">
        <v>0</v>
      </c>
      <c r="J44" s="2">
        <v>-738</v>
      </c>
      <c r="K44" s="2">
        <v>-62517</v>
      </c>
      <c r="L44" s="2">
        <v>-301</v>
      </c>
      <c r="M44" s="2">
        <v>-377</v>
      </c>
      <c r="N44" s="2">
        <v>-81</v>
      </c>
      <c r="O44" s="117">
        <v>-288</v>
      </c>
      <c r="P44" s="117">
        <v>-111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-20047</v>
      </c>
      <c r="M45" s="2">
        <v>-1912</v>
      </c>
      <c r="N45" s="2">
        <v>-1906</v>
      </c>
      <c r="O45" s="117">
        <v>-277</v>
      </c>
      <c r="P45" s="117">
        <v>0</v>
      </c>
      <c r="Q45" s="117">
        <v>-1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-3949</v>
      </c>
      <c r="O46" s="117">
        <v>-8783</v>
      </c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-21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2">
        <v>0</v>
      </c>
      <c r="H47" s="2">
        <v>0</v>
      </c>
      <c r="I47" s="2">
        <v>0</v>
      </c>
      <c r="J47" s="2">
        <v>-2593</v>
      </c>
      <c r="K47" s="2">
        <v>0</v>
      </c>
      <c r="L47" s="2">
        <v>-226</v>
      </c>
      <c r="M47" s="2">
        <v>0</v>
      </c>
      <c r="N47" s="2">
        <v>0</v>
      </c>
      <c r="O47" s="117">
        <v>-841</v>
      </c>
      <c r="P47" s="117">
        <v>-96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2">
        <v>0</v>
      </c>
      <c r="H48" s="2">
        <v>0</v>
      </c>
      <c r="I48" s="2">
        <v>-21</v>
      </c>
      <c r="J48" s="2">
        <v>-3385</v>
      </c>
      <c r="K48" s="2">
        <v>-2744</v>
      </c>
      <c r="L48" s="2">
        <v>-1146</v>
      </c>
      <c r="M48" s="2">
        <v>0</v>
      </c>
      <c r="N48" s="2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2">
        <v>-15</v>
      </c>
      <c r="H49" s="2">
        <v>0</v>
      </c>
      <c r="I49" s="2">
        <v>-14704</v>
      </c>
      <c r="J49" s="2">
        <v>-821</v>
      </c>
      <c r="K49" s="2">
        <v>0</v>
      </c>
      <c r="L49" s="2">
        <v>0</v>
      </c>
      <c r="M49" s="2">
        <v>-11481</v>
      </c>
      <c r="N49" s="2">
        <v>-6407</v>
      </c>
      <c r="O49" s="117">
        <v>-18</v>
      </c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2">
        <v>0</v>
      </c>
      <c r="H50" s="2">
        <v>-2</v>
      </c>
      <c r="I50" s="2">
        <v>0</v>
      </c>
      <c r="J50" s="2">
        <v>-47066</v>
      </c>
      <c r="K50" s="2">
        <v>-124</v>
      </c>
      <c r="L50" s="2">
        <v>-15</v>
      </c>
      <c r="M50" s="2">
        <v>-1200</v>
      </c>
      <c r="N50" s="2">
        <v>-20241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2">
        <v>-6</v>
      </c>
      <c r="H51" s="2">
        <v>0</v>
      </c>
      <c r="I51" s="2">
        <v>0</v>
      </c>
      <c r="J51" s="2">
        <v>-807</v>
      </c>
      <c r="K51" s="2">
        <v>-871</v>
      </c>
      <c r="L51" s="2">
        <v>0</v>
      </c>
      <c r="M51" s="2">
        <v>-36456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2">
        <v>0</v>
      </c>
      <c r="H52" s="2">
        <v>-1978</v>
      </c>
      <c r="I52" s="2">
        <v>-7</v>
      </c>
      <c r="J52" s="2">
        <v>0</v>
      </c>
      <c r="K52" s="2">
        <v>-49192</v>
      </c>
      <c r="L52" s="2">
        <v>-19996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40">
        <v>0</v>
      </c>
      <c r="H53" s="40">
        <v>0</v>
      </c>
      <c r="I53" s="40">
        <v>-9309</v>
      </c>
      <c r="J53" s="40">
        <v>0</v>
      </c>
      <c r="K53" s="40">
        <v>-5291</v>
      </c>
      <c r="L53" s="40">
        <v>-31519</v>
      </c>
      <c r="M53" s="40">
        <v>-6</v>
      </c>
      <c r="N53" s="40">
        <v>0</v>
      </c>
      <c r="O53" s="95">
        <v>-9163</v>
      </c>
      <c r="P53" s="168">
        <v>0</v>
      </c>
      <c r="Q53" s="168">
        <v>0</v>
      </c>
      <c r="R53" s="1">
        <v>-882</v>
      </c>
      <c r="S53" s="182">
        <v>-116</v>
      </c>
      <c r="T53" s="1">
        <v>0</v>
      </c>
      <c r="U53" s="182">
        <v>-10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N54" si="8">SUM(G42:G53)</f>
        <v>-21</v>
      </c>
      <c r="H54" s="126">
        <f t="shared" si="8"/>
        <v>-24336</v>
      </c>
      <c r="I54" s="126">
        <f t="shared" si="8"/>
        <v>-70602</v>
      </c>
      <c r="J54" s="126">
        <f t="shared" si="8"/>
        <v>-55411</v>
      </c>
      <c r="K54" s="126">
        <f t="shared" si="8"/>
        <v>-124644</v>
      </c>
      <c r="L54" s="126">
        <f t="shared" si="8"/>
        <v>-73748</v>
      </c>
      <c r="M54" s="126">
        <f t="shared" si="8"/>
        <v>-51432</v>
      </c>
      <c r="N54" s="126">
        <f t="shared" si="8"/>
        <v>-54912</v>
      </c>
      <c r="O54" s="96">
        <f>SUM(O42:O53)</f>
        <v>-19370</v>
      </c>
      <c r="P54" s="96">
        <f>SUM(P42:P53)</f>
        <v>-207</v>
      </c>
      <c r="Q54" s="96">
        <f>SUM(Q42:Q53)</f>
        <v>-1</v>
      </c>
      <c r="R54" s="126">
        <f t="shared" ref="R54" si="9">SUM(R42:R53)</f>
        <v>-882</v>
      </c>
      <c r="S54" s="126">
        <f>SUM(S42:S53)</f>
        <v>-117</v>
      </c>
      <c r="T54" s="126">
        <f t="shared" ref="T54" si="10">SUM(T42:T53)</f>
        <v>0</v>
      </c>
      <c r="U54" s="126">
        <f>SUM(U42:U53)</f>
        <v>-31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pageSetUpPr fitToPage="1"/>
  </sheetPr>
  <dimension ref="A1:W73"/>
  <sheetViews>
    <sheetView workbookViewId="0">
      <pane xSplit="1" topLeftCell="R1" activePane="topRight" state="frozen"/>
      <selection pane="topRight" activeCell="V4" sqref="V4"/>
    </sheetView>
  </sheetViews>
  <sheetFormatPr defaultRowHeight="12.75" x14ac:dyDescent="0.2"/>
  <cols>
    <col min="1" max="1" width="16.5703125" bestFit="1" customWidth="1"/>
    <col min="2" max="2" width="5.28515625" bestFit="1" customWidth="1"/>
    <col min="3" max="8" width="5" bestFit="1" customWidth="1"/>
    <col min="9" max="11" width="8.5703125" bestFit="1" customWidth="1"/>
    <col min="12" max="17" width="9.28515625" bestFit="1" customWidth="1"/>
    <col min="18" max="21" width="10.7109375" bestFit="1" customWidth="1"/>
  </cols>
  <sheetData>
    <row r="1" spans="1:23" x14ac:dyDescent="0.2">
      <c r="A1" s="24" t="s">
        <v>373</v>
      </c>
      <c r="B1" s="148">
        <v>5.0000000000000001E-3</v>
      </c>
      <c r="D1" s="94" t="s">
        <v>372</v>
      </c>
    </row>
    <row r="2" spans="1:23" x14ac:dyDescent="0.2">
      <c r="A2" s="25"/>
      <c r="B2" s="16">
        <v>2004</v>
      </c>
      <c r="C2" s="16">
        <v>2005</v>
      </c>
      <c r="D2" s="16">
        <v>2006</v>
      </c>
      <c r="E2" s="16">
        <v>2007</v>
      </c>
      <c r="F2" s="16">
        <v>2008</v>
      </c>
      <c r="G2" s="16">
        <v>2009</v>
      </c>
      <c r="H2" s="16">
        <v>2010</v>
      </c>
      <c r="I2" s="18">
        <v>2011</v>
      </c>
      <c r="J2" s="18">
        <v>2012</v>
      </c>
      <c r="K2" s="18">
        <v>2013</v>
      </c>
      <c r="L2" s="18">
        <v>2014</v>
      </c>
      <c r="M2" s="18">
        <v>2015</v>
      </c>
      <c r="N2" s="86">
        <v>2016</v>
      </c>
      <c r="O2" s="86">
        <v>2017</v>
      </c>
      <c r="P2" s="86">
        <v>2018</v>
      </c>
      <c r="Q2" s="86">
        <v>2019</v>
      </c>
      <c r="R2" s="86">
        <v>2020</v>
      </c>
      <c r="S2" s="86">
        <v>2021</v>
      </c>
      <c r="T2" s="86">
        <v>2022</v>
      </c>
      <c r="U2" s="86">
        <v>2023</v>
      </c>
    </row>
    <row r="3" spans="1:23" x14ac:dyDescent="0.2">
      <c r="A3" s="25"/>
      <c r="L3" s="94"/>
    </row>
    <row r="4" spans="1:23" x14ac:dyDescent="0.2">
      <c r="A4" s="26" t="s">
        <v>0</v>
      </c>
      <c r="B4" s="22"/>
      <c r="C4" s="22"/>
      <c r="D4" s="12"/>
      <c r="E4" s="41"/>
      <c r="F4" s="57"/>
      <c r="G4" s="59"/>
      <c r="H4" s="54"/>
      <c r="I4" s="2"/>
      <c r="J4" s="2"/>
      <c r="K4" s="2"/>
      <c r="L4" s="102"/>
      <c r="M4" s="117"/>
      <c r="N4" s="117"/>
      <c r="O4" s="117"/>
      <c r="P4" s="117"/>
      <c r="Q4" s="117"/>
      <c r="R4" s="1">
        <v>124016</v>
      </c>
      <c r="S4" s="1">
        <v>136533</v>
      </c>
      <c r="T4" s="1">
        <v>147692</v>
      </c>
      <c r="U4" s="1">
        <v>150371</v>
      </c>
    </row>
    <row r="5" spans="1:23" x14ac:dyDescent="0.2">
      <c r="A5" s="26" t="s">
        <v>1</v>
      </c>
      <c r="B5" s="22"/>
      <c r="C5" s="22"/>
      <c r="D5" s="12"/>
      <c r="E5" s="41"/>
      <c r="F5" s="41"/>
      <c r="G5" s="59"/>
      <c r="H5" s="54"/>
      <c r="I5" s="2"/>
      <c r="J5" s="2"/>
      <c r="K5" s="2"/>
      <c r="L5" s="102"/>
      <c r="M5" s="117"/>
      <c r="N5" s="117"/>
      <c r="O5" s="117"/>
      <c r="P5" s="117"/>
      <c r="Q5" s="117"/>
      <c r="R5" s="113">
        <v>99010</v>
      </c>
      <c r="S5" s="1">
        <v>113725</v>
      </c>
      <c r="T5" s="1">
        <v>120169</v>
      </c>
      <c r="U5" s="1">
        <v>134316</v>
      </c>
    </row>
    <row r="6" spans="1:23" x14ac:dyDescent="0.2">
      <c r="A6" s="26" t="s">
        <v>2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6"/>
      <c r="M6" s="117"/>
      <c r="N6" s="117"/>
      <c r="O6" s="117"/>
      <c r="P6" s="117"/>
      <c r="Q6" s="117"/>
      <c r="R6" s="113">
        <v>101093</v>
      </c>
      <c r="S6" s="1">
        <v>108285</v>
      </c>
      <c r="T6" s="1">
        <v>115231</v>
      </c>
      <c r="U6" s="1">
        <v>120753</v>
      </c>
    </row>
    <row r="7" spans="1:23" x14ac:dyDescent="0.2">
      <c r="A7" s="26" t="s">
        <v>3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6"/>
      <c r="M7" s="117"/>
      <c r="N7" s="117"/>
      <c r="O7" s="117"/>
      <c r="P7" s="117"/>
      <c r="Q7" s="117"/>
      <c r="R7" s="117">
        <v>105762</v>
      </c>
      <c r="S7" s="1">
        <v>148898</v>
      </c>
      <c r="T7" s="1">
        <v>149611</v>
      </c>
      <c r="U7" s="1">
        <v>143027</v>
      </c>
    </row>
    <row r="8" spans="1:23" x14ac:dyDescent="0.2">
      <c r="A8" s="26" t="s">
        <v>4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6"/>
      <c r="M8" s="117"/>
      <c r="N8" s="117"/>
      <c r="O8" s="117"/>
      <c r="P8" s="117"/>
      <c r="Q8" s="117"/>
      <c r="R8" s="117">
        <v>116827</v>
      </c>
      <c r="S8" s="1">
        <v>164403</v>
      </c>
      <c r="T8" s="1">
        <v>142594</v>
      </c>
      <c r="U8" s="1">
        <v>142771</v>
      </c>
    </row>
    <row r="9" spans="1:23" x14ac:dyDescent="0.2">
      <c r="A9" s="26" t="s">
        <v>5</v>
      </c>
      <c r="B9" s="22"/>
      <c r="C9" s="22"/>
      <c r="D9" s="12"/>
      <c r="E9" s="41"/>
      <c r="F9" s="41"/>
      <c r="G9" s="59"/>
      <c r="H9" s="54"/>
      <c r="I9" s="2"/>
      <c r="J9" s="2"/>
      <c r="K9" s="2"/>
      <c r="L9" s="106"/>
      <c r="M9" s="117"/>
      <c r="N9" s="117"/>
      <c r="O9" s="117"/>
      <c r="P9" s="117"/>
      <c r="Q9" s="117"/>
      <c r="R9" s="1">
        <v>161488</v>
      </c>
      <c r="S9" s="1">
        <v>186875</v>
      </c>
      <c r="T9" s="1">
        <v>221053</v>
      </c>
      <c r="U9" s="1">
        <v>204085</v>
      </c>
    </row>
    <row r="10" spans="1:23" x14ac:dyDescent="0.2">
      <c r="A10" s="26" t="s">
        <v>6</v>
      </c>
      <c r="B10" s="22"/>
      <c r="C10" s="22"/>
      <c r="D10" s="12"/>
      <c r="E10" s="41"/>
      <c r="F10" s="41"/>
      <c r="G10" s="59"/>
      <c r="H10" s="54"/>
      <c r="I10" s="2"/>
      <c r="J10" s="2"/>
      <c r="K10" s="2"/>
      <c r="L10" s="106"/>
      <c r="M10" s="117"/>
      <c r="N10" s="117"/>
      <c r="O10" s="117"/>
      <c r="P10" s="117"/>
      <c r="Q10" s="117"/>
      <c r="R10" s="1">
        <v>135489</v>
      </c>
      <c r="S10" s="1">
        <v>178413</v>
      </c>
      <c r="T10" s="1">
        <v>210472</v>
      </c>
      <c r="U10" s="1">
        <v>217828</v>
      </c>
      <c r="W10" t="s">
        <v>517</v>
      </c>
    </row>
    <row r="11" spans="1:23" x14ac:dyDescent="0.2">
      <c r="A11" s="26" t="s">
        <v>7</v>
      </c>
      <c r="B11" s="22"/>
      <c r="C11" s="22"/>
      <c r="D11" s="12"/>
      <c r="E11" s="41"/>
      <c r="F11" s="41"/>
      <c r="G11" s="59"/>
      <c r="H11" s="54"/>
      <c r="I11" s="2"/>
      <c r="J11" s="2"/>
      <c r="K11" s="2"/>
      <c r="L11" s="106"/>
      <c r="M11" s="117"/>
      <c r="N11" s="117"/>
      <c r="O11" s="117"/>
      <c r="P11" s="117"/>
      <c r="Q11" s="117"/>
      <c r="R11" s="1">
        <v>206077</v>
      </c>
      <c r="S11" s="1">
        <v>198709</v>
      </c>
      <c r="T11" s="1">
        <v>207464</v>
      </c>
      <c r="U11" s="1">
        <v>941</v>
      </c>
    </row>
    <row r="12" spans="1:23" x14ac:dyDescent="0.2">
      <c r="A12" s="26" t="s">
        <v>8</v>
      </c>
      <c r="B12" s="22"/>
      <c r="C12" s="22"/>
      <c r="D12" s="12"/>
      <c r="E12" s="41"/>
      <c r="F12" s="41"/>
      <c r="G12" s="59"/>
      <c r="H12" s="54"/>
      <c r="I12" s="2"/>
      <c r="J12" s="2"/>
      <c r="K12" s="2"/>
      <c r="L12" s="106"/>
      <c r="M12" s="117"/>
      <c r="N12" s="117"/>
      <c r="O12" s="117"/>
      <c r="P12" s="117"/>
      <c r="Q12" s="117"/>
      <c r="R12" s="2">
        <v>152731</v>
      </c>
      <c r="S12" s="1">
        <v>168506</v>
      </c>
      <c r="T12" s="1">
        <v>184497</v>
      </c>
      <c r="U12" s="1">
        <v>370</v>
      </c>
    </row>
    <row r="13" spans="1:23" x14ac:dyDescent="0.2">
      <c r="A13" s="26" t="s">
        <v>9</v>
      </c>
      <c r="B13" s="30"/>
      <c r="C13" s="22"/>
      <c r="D13" s="12"/>
      <c r="E13" s="41"/>
      <c r="F13" s="41"/>
      <c r="G13" s="59"/>
      <c r="H13" s="54"/>
      <c r="I13" s="2"/>
      <c r="J13" s="2"/>
      <c r="K13" s="2"/>
      <c r="L13" s="106"/>
      <c r="M13" s="117"/>
      <c r="N13" s="117"/>
      <c r="O13" s="117"/>
      <c r="P13" s="117"/>
      <c r="Q13" s="117">
        <v>25</v>
      </c>
      <c r="R13" s="1">
        <v>140587</v>
      </c>
      <c r="S13" s="1">
        <v>158145</v>
      </c>
      <c r="T13" s="1">
        <v>178733</v>
      </c>
      <c r="U13" s="1">
        <v>273</v>
      </c>
    </row>
    <row r="14" spans="1:23" x14ac:dyDescent="0.2">
      <c r="A14" s="26" t="s">
        <v>10</v>
      </c>
      <c r="B14" s="22"/>
      <c r="C14" s="22"/>
      <c r="D14" s="12"/>
      <c r="E14" s="41"/>
      <c r="F14" s="41"/>
      <c r="G14" s="59"/>
      <c r="H14" s="54"/>
      <c r="I14" s="2"/>
      <c r="J14" s="2"/>
      <c r="K14" s="2"/>
      <c r="L14" s="106"/>
      <c r="M14" s="117"/>
      <c r="N14" s="117"/>
      <c r="O14" s="117"/>
      <c r="P14" s="117"/>
      <c r="Q14" s="117">
        <v>120536</v>
      </c>
      <c r="R14" s="1">
        <v>129890</v>
      </c>
      <c r="S14" s="1">
        <v>148927</v>
      </c>
      <c r="T14" s="1">
        <v>155115</v>
      </c>
      <c r="U14" s="1">
        <v>113</v>
      </c>
    </row>
    <row r="15" spans="1:23" x14ac:dyDescent="0.2">
      <c r="A15" s="26" t="s">
        <v>11</v>
      </c>
      <c r="B15" s="23"/>
      <c r="C15" s="23"/>
      <c r="D15" s="23"/>
      <c r="E15" s="58"/>
      <c r="F15" s="58"/>
      <c r="G15" s="60"/>
      <c r="H15" s="61"/>
      <c r="I15" s="40"/>
      <c r="J15" s="40"/>
      <c r="K15" s="40"/>
      <c r="L15" s="95"/>
      <c r="M15" s="95"/>
      <c r="N15" s="95"/>
      <c r="O15" s="95"/>
      <c r="P15" s="95"/>
      <c r="Q15" s="95">
        <v>114741</v>
      </c>
      <c r="R15" s="1">
        <v>118501</v>
      </c>
      <c r="S15" s="1">
        <v>118278</v>
      </c>
      <c r="T15" s="1">
        <v>147815</v>
      </c>
      <c r="U15" s="1">
        <v>1516</v>
      </c>
    </row>
    <row r="16" spans="1:23" x14ac:dyDescent="0.2">
      <c r="A16" s="25"/>
      <c r="B16" s="14"/>
      <c r="C16" s="14"/>
      <c r="D16" s="14"/>
      <c r="E16" s="41"/>
      <c r="F16" s="41">
        <f>SUM(F5:F15)</f>
        <v>0</v>
      </c>
      <c r="G16" s="41">
        <f t="shared" ref="G16:L16" si="0">SUM(G4:G15)</f>
        <v>0</v>
      </c>
      <c r="H16" s="41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96">
        <f t="shared" si="0"/>
        <v>0</v>
      </c>
      <c r="M16" s="96">
        <f t="shared" ref="M16:Q16" si="1">SUM(M4:M15)</f>
        <v>0</v>
      </c>
      <c r="N16" s="96">
        <f t="shared" si="1"/>
        <v>0</v>
      </c>
      <c r="O16" s="96">
        <f t="shared" si="1"/>
        <v>0</v>
      </c>
      <c r="P16" s="96">
        <f t="shared" si="1"/>
        <v>0</v>
      </c>
      <c r="Q16" s="96">
        <f t="shared" si="1"/>
        <v>235302</v>
      </c>
      <c r="R16" s="126">
        <f t="shared" ref="R16:S16" si="2">SUM(R4:R15)</f>
        <v>1591471</v>
      </c>
      <c r="S16" s="126">
        <f t="shared" si="2"/>
        <v>1829697</v>
      </c>
      <c r="T16" s="126">
        <f t="shared" ref="T16:U16" si="3">SUM(T4:T15)</f>
        <v>1980446</v>
      </c>
      <c r="U16" s="126">
        <f t="shared" si="3"/>
        <v>1116364</v>
      </c>
    </row>
    <row r="17" spans="1:21" x14ac:dyDescent="0.2">
      <c r="A17" s="25"/>
      <c r="B17" s="14"/>
      <c r="C17" s="14"/>
      <c r="D17" s="14"/>
      <c r="E17" s="41"/>
      <c r="F17" s="41"/>
      <c r="G17" s="41"/>
      <c r="H17" s="41"/>
      <c r="I17" s="44"/>
      <c r="J17" s="44"/>
      <c r="K17" s="44"/>
      <c r="L17" s="96"/>
      <c r="M17" s="96"/>
      <c r="N17" s="96"/>
      <c r="O17" s="96"/>
      <c r="P17" s="96"/>
      <c r="Q17" s="96"/>
      <c r="R17" s="96"/>
      <c r="S17" s="96"/>
      <c r="U17" s="96"/>
    </row>
    <row r="18" spans="1:21" x14ac:dyDescent="0.2">
      <c r="A18" s="25"/>
      <c r="B18" s="14"/>
      <c r="C18" s="14"/>
      <c r="D18" s="14"/>
      <c r="E18" s="41"/>
      <c r="F18" s="41"/>
      <c r="G18" s="41"/>
      <c r="H18" s="41"/>
      <c r="I18" s="44"/>
      <c r="J18" s="44"/>
      <c r="K18" s="44"/>
      <c r="L18" s="96"/>
      <c r="M18" s="96"/>
      <c r="N18" s="96"/>
      <c r="O18" s="96"/>
      <c r="P18" s="96"/>
      <c r="Q18" s="96"/>
      <c r="R18" s="96"/>
      <c r="S18" s="96"/>
      <c r="U18" s="96"/>
    </row>
    <row r="20" spans="1:21" x14ac:dyDescent="0.2">
      <c r="A20" s="24" t="s">
        <v>407</v>
      </c>
      <c r="B20" s="148">
        <v>5.0000000000000001E-3</v>
      </c>
      <c r="D20" s="94" t="s">
        <v>372</v>
      </c>
    </row>
    <row r="21" spans="1:21" x14ac:dyDescent="0.2">
      <c r="A21" s="25"/>
      <c r="B21" s="16">
        <v>2004</v>
      </c>
      <c r="C21" s="16">
        <v>2005</v>
      </c>
      <c r="D21" s="16">
        <v>2006</v>
      </c>
      <c r="E21" s="16">
        <v>2007</v>
      </c>
      <c r="F21" s="16">
        <v>2008</v>
      </c>
      <c r="G21" s="16">
        <v>2009</v>
      </c>
      <c r="H21" s="16">
        <v>2010</v>
      </c>
      <c r="I21" s="18">
        <v>2011</v>
      </c>
      <c r="J21" s="18">
        <v>2012</v>
      </c>
      <c r="K21" s="18">
        <v>2013</v>
      </c>
      <c r="L21" s="18">
        <v>2014</v>
      </c>
      <c r="M21" s="18">
        <v>2015</v>
      </c>
      <c r="N21" s="86">
        <v>2016</v>
      </c>
      <c r="O21" s="86">
        <v>2017</v>
      </c>
      <c r="P21" s="86">
        <v>2018</v>
      </c>
      <c r="Q21" s="86">
        <v>2019</v>
      </c>
      <c r="R21" s="86">
        <v>2020</v>
      </c>
      <c r="S21" s="86">
        <v>2021</v>
      </c>
      <c r="T21" s="86">
        <v>2022</v>
      </c>
      <c r="U21" s="86">
        <v>2023</v>
      </c>
    </row>
    <row r="22" spans="1:21" x14ac:dyDescent="0.2">
      <c r="A22" s="25"/>
      <c r="L22" s="94"/>
    </row>
    <row r="23" spans="1:21" x14ac:dyDescent="0.2">
      <c r="A23" s="26" t="s">
        <v>0</v>
      </c>
      <c r="B23" s="22"/>
      <c r="C23" s="22"/>
      <c r="D23" s="12"/>
      <c r="E23" s="41"/>
      <c r="F23" s="57"/>
      <c r="G23" s="59"/>
      <c r="H23" s="54"/>
      <c r="I23" s="2"/>
      <c r="J23" s="2"/>
      <c r="K23" s="2"/>
      <c r="L23" s="102"/>
      <c r="M23" s="117"/>
      <c r="N23" s="117"/>
      <c r="O23" s="117"/>
      <c r="P23" s="117"/>
      <c r="Q23" s="117"/>
      <c r="R23" s="1">
        <v>3219</v>
      </c>
      <c r="S23" s="1">
        <v>10680</v>
      </c>
      <c r="T23" s="1">
        <v>7759</v>
      </c>
      <c r="U23" s="1">
        <v>8544</v>
      </c>
    </row>
    <row r="24" spans="1:21" x14ac:dyDescent="0.2">
      <c r="A24" s="26" t="s">
        <v>1</v>
      </c>
      <c r="B24" s="22"/>
      <c r="C24" s="22"/>
      <c r="D24" s="12"/>
      <c r="E24" s="41"/>
      <c r="F24" s="41"/>
      <c r="G24" s="59"/>
      <c r="H24" s="54"/>
      <c r="I24" s="2"/>
      <c r="J24" s="2"/>
      <c r="K24" s="2"/>
      <c r="L24" s="102"/>
      <c r="M24" s="117"/>
      <c r="N24" s="117"/>
      <c r="O24" s="117"/>
      <c r="P24" s="117"/>
      <c r="Q24" s="117"/>
      <c r="R24" s="113">
        <v>2882</v>
      </c>
      <c r="S24" s="1">
        <v>3051</v>
      </c>
      <c r="T24" s="1">
        <v>6104</v>
      </c>
      <c r="U24" s="1">
        <v>6411</v>
      </c>
    </row>
    <row r="25" spans="1:21" x14ac:dyDescent="0.2">
      <c r="A25" s="26" t="s">
        <v>2</v>
      </c>
      <c r="B25" s="22"/>
      <c r="C25" s="22"/>
      <c r="D25" s="12"/>
      <c r="E25" s="41"/>
      <c r="F25" s="41"/>
      <c r="G25" s="59"/>
      <c r="H25" s="54"/>
      <c r="I25" s="2"/>
      <c r="J25" s="2"/>
      <c r="K25" s="2"/>
      <c r="L25" s="106"/>
      <c r="M25" s="117"/>
      <c r="N25" s="117"/>
      <c r="O25" s="117"/>
      <c r="P25" s="117"/>
      <c r="Q25" s="117"/>
      <c r="R25" s="113">
        <v>4158</v>
      </c>
      <c r="S25" s="1">
        <v>5209</v>
      </c>
      <c r="T25" s="1">
        <v>5215</v>
      </c>
      <c r="U25" s="1">
        <v>3693</v>
      </c>
    </row>
    <row r="26" spans="1:21" x14ac:dyDescent="0.2">
      <c r="A26" s="26" t="s">
        <v>3</v>
      </c>
      <c r="B26" s="22"/>
      <c r="C26" s="22"/>
      <c r="D26" s="12"/>
      <c r="E26" s="41"/>
      <c r="F26" s="41"/>
      <c r="G26" s="59"/>
      <c r="H26" s="54"/>
      <c r="I26" s="2"/>
      <c r="J26" s="2"/>
      <c r="K26" s="2"/>
      <c r="L26" s="106"/>
      <c r="M26" s="117"/>
      <c r="N26" s="117"/>
      <c r="O26" s="117"/>
      <c r="P26" s="117"/>
      <c r="Q26" s="117"/>
      <c r="R26" s="117">
        <v>4192</v>
      </c>
      <c r="S26" s="1">
        <v>6154</v>
      </c>
      <c r="T26" s="1">
        <v>6355</v>
      </c>
      <c r="U26" s="1">
        <v>13209</v>
      </c>
    </row>
    <row r="27" spans="1:21" x14ac:dyDescent="0.2">
      <c r="A27" s="26" t="s">
        <v>4</v>
      </c>
      <c r="B27" s="22"/>
      <c r="C27" s="22"/>
      <c r="D27" s="12"/>
      <c r="E27" s="41"/>
      <c r="F27" s="41"/>
      <c r="G27" s="59"/>
      <c r="H27" s="54"/>
      <c r="I27" s="2"/>
      <c r="J27" s="2"/>
      <c r="K27" s="2"/>
      <c r="L27" s="106"/>
      <c r="M27" s="117"/>
      <c r="N27" s="117"/>
      <c r="O27" s="117"/>
      <c r="P27" s="117"/>
      <c r="Q27" s="117"/>
      <c r="R27" s="117">
        <v>3861</v>
      </c>
      <c r="S27" s="1">
        <v>6357</v>
      </c>
      <c r="T27" s="1">
        <v>4917</v>
      </c>
      <c r="U27" s="1">
        <v>5750</v>
      </c>
    </row>
    <row r="28" spans="1:21" x14ac:dyDescent="0.2">
      <c r="A28" s="26" t="s">
        <v>5</v>
      </c>
      <c r="B28" s="22"/>
      <c r="C28" s="22"/>
      <c r="D28" s="12"/>
      <c r="E28" s="41"/>
      <c r="F28" s="41"/>
      <c r="G28" s="59"/>
      <c r="H28" s="54"/>
      <c r="I28" s="2"/>
      <c r="J28" s="2"/>
      <c r="K28" s="2"/>
      <c r="L28" s="106"/>
      <c r="M28" s="117"/>
      <c r="N28" s="117"/>
      <c r="O28" s="117"/>
      <c r="P28" s="117"/>
      <c r="Q28" s="117"/>
      <c r="R28" s="113">
        <v>5380</v>
      </c>
      <c r="S28" s="1">
        <v>5991</v>
      </c>
      <c r="T28" s="1">
        <v>4082</v>
      </c>
      <c r="U28" s="1">
        <v>7753</v>
      </c>
    </row>
    <row r="29" spans="1:21" x14ac:dyDescent="0.2">
      <c r="A29" s="26" t="s">
        <v>6</v>
      </c>
      <c r="B29" s="22"/>
      <c r="C29" s="22"/>
      <c r="D29" s="12"/>
      <c r="E29" s="41"/>
      <c r="F29" s="41"/>
      <c r="G29" s="59"/>
      <c r="H29" s="54"/>
      <c r="I29" s="2"/>
      <c r="J29" s="2"/>
      <c r="K29" s="2"/>
      <c r="L29" s="106"/>
      <c r="M29" s="117"/>
      <c r="N29" s="117"/>
      <c r="O29" s="117"/>
      <c r="P29" s="117"/>
      <c r="Q29" s="117"/>
      <c r="R29" s="1">
        <v>8556</v>
      </c>
      <c r="S29" s="1">
        <v>7603</v>
      </c>
      <c r="T29" s="1">
        <v>10816</v>
      </c>
      <c r="U29" s="1">
        <v>7840</v>
      </c>
    </row>
    <row r="30" spans="1:21" x14ac:dyDescent="0.2">
      <c r="A30" s="26" t="s">
        <v>7</v>
      </c>
      <c r="B30" s="22"/>
      <c r="C30" s="22"/>
      <c r="D30" s="12"/>
      <c r="E30" s="41"/>
      <c r="F30" s="41"/>
      <c r="G30" s="59"/>
      <c r="H30" s="54"/>
      <c r="I30" s="2"/>
      <c r="J30" s="2"/>
      <c r="K30" s="2"/>
      <c r="L30" s="106"/>
      <c r="M30" s="117"/>
      <c r="N30" s="117"/>
      <c r="O30" s="117"/>
      <c r="P30" s="117"/>
      <c r="Q30" s="117"/>
      <c r="R30" s="1">
        <v>5810</v>
      </c>
      <c r="S30" s="1">
        <v>11271</v>
      </c>
      <c r="T30" s="1">
        <v>7065</v>
      </c>
      <c r="U30" s="1">
        <v>412</v>
      </c>
    </row>
    <row r="31" spans="1:21" x14ac:dyDescent="0.2">
      <c r="A31" s="26" t="s">
        <v>8</v>
      </c>
      <c r="B31" s="22"/>
      <c r="C31" s="22"/>
      <c r="D31" s="12"/>
      <c r="E31" s="41"/>
      <c r="F31" s="41"/>
      <c r="G31" s="59"/>
      <c r="H31" s="54"/>
      <c r="I31" s="2"/>
      <c r="J31" s="2"/>
      <c r="K31" s="2"/>
      <c r="L31" s="106"/>
      <c r="M31" s="117"/>
      <c r="N31" s="117"/>
      <c r="O31" s="117"/>
      <c r="P31" s="117"/>
      <c r="Q31" s="117"/>
      <c r="R31" s="2">
        <v>4547</v>
      </c>
      <c r="S31" s="1">
        <v>5244</v>
      </c>
      <c r="T31" s="1">
        <v>8032</v>
      </c>
      <c r="U31" s="1">
        <v>79</v>
      </c>
    </row>
    <row r="32" spans="1:21" x14ac:dyDescent="0.2">
      <c r="A32" s="26" t="s">
        <v>9</v>
      </c>
      <c r="B32" s="30"/>
      <c r="C32" s="22"/>
      <c r="D32" s="12"/>
      <c r="E32" s="41"/>
      <c r="F32" s="41"/>
      <c r="G32" s="59"/>
      <c r="H32" s="54"/>
      <c r="I32" s="2"/>
      <c r="J32" s="2"/>
      <c r="K32" s="2"/>
      <c r="L32" s="106"/>
      <c r="M32" s="117"/>
      <c r="N32" s="117"/>
      <c r="O32" s="117"/>
      <c r="P32" s="117"/>
      <c r="Q32" s="117">
        <v>0</v>
      </c>
      <c r="R32" s="1">
        <v>5059</v>
      </c>
      <c r="S32" s="1">
        <v>5463</v>
      </c>
      <c r="T32" s="1">
        <v>8219</v>
      </c>
      <c r="U32" s="1">
        <v>3</v>
      </c>
    </row>
    <row r="33" spans="1:21" x14ac:dyDescent="0.2">
      <c r="A33" s="26" t="s">
        <v>10</v>
      </c>
      <c r="B33" s="22"/>
      <c r="C33" s="22"/>
      <c r="D33" s="12"/>
      <c r="E33" s="41"/>
      <c r="F33" s="41"/>
      <c r="G33" s="59"/>
      <c r="H33" s="54"/>
      <c r="I33" s="2"/>
      <c r="J33" s="2"/>
      <c r="K33" s="2"/>
      <c r="L33" s="106"/>
      <c r="M33" s="117"/>
      <c r="N33" s="117"/>
      <c r="O33" s="117"/>
      <c r="P33" s="117"/>
      <c r="Q33" s="117">
        <v>2651</v>
      </c>
      <c r="R33" s="1">
        <v>5792</v>
      </c>
      <c r="S33" s="1">
        <v>8245</v>
      </c>
      <c r="T33" s="1">
        <v>7226</v>
      </c>
      <c r="U33" s="1">
        <v>10</v>
      </c>
    </row>
    <row r="34" spans="1:21" x14ac:dyDescent="0.2">
      <c r="A34" s="26" t="s">
        <v>11</v>
      </c>
      <c r="B34" s="23"/>
      <c r="C34" s="23"/>
      <c r="D34" s="23"/>
      <c r="E34" s="58"/>
      <c r="F34" s="58"/>
      <c r="G34" s="60"/>
      <c r="H34" s="61"/>
      <c r="I34" s="40"/>
      <c r="J34" s="40"/>
      <c r="K34" s="40"/>
      <c r="L34" s="95"/>
      <c r="M34" s="95"/>
      <c r="N34" s="95"/>
      <c r="O34" s="95"/>
      <c r="P34" s="95"/>
      <c r="Q34" s="95">
        <v>2502</v>
      </c>
      <c r="R34" s="1">
        <v>5405</v>
      </c>
      <c r="S34" s="1">
        <v>6930</v>
      </c>
      <c r="T34" s="1">
        <v>6844</v>
      </c>
      <c r="U34" s="1">
        <v>261</v>
      </c>
    </row>
    <row r="35" spans="1:21" x14ac:dyDescent="0.2">
      <c r="A35" s="25"/>
      <c r="B35" s="14"/>
      <c r="C35" s="14"/>
      <c r="D35" s="14"/>
      <c r="E35" s="41"/>
      <c r="F35" s="41">
        <f>SUM(F24:F34)</f>
        <v>0</v>
      </c>
      <c r="G35" s="41">
        <f t="shared" ref="G35:L35" si="4">SUM(G23:G34)</f>
        <v>0</v>
      </c>
      <c r="H35" s="41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96">
        <f t="shared" si="4"/>
        <v>0</v>
      </c>
      <c r="M35" s="96">
        <f t="shared" ref="M35:Q35" si="5">SUM(M23:M34)</f>
        <v>0</v>
      </c>
      <c r="N35" s="96">
        <f t="shared" si="5"/>
        <v>0</v>
      </c>
      <c r="O35" s="96">
        <f t="shared" si="5"/>
        <v>0</v>
      </c>
      <c r="P35" s="96">
        <f t="shared" si="5"/>
        <v>0</v>
      </c>
      <c r="Q35" s="96">
        <f t="shared" si="5"/>
        <v>5153</v>
      </c>
      <c r="R35" s="126">
        <f t="shared" ref="R35:S35" si="6">SUM(R23:R34)</f>
        <v>58861</v>
      </c>
      <c r="S35" s="126">
        <f t="shared" si="6"/>
        <v>82198</v>
      </c>
      <c r="T35" s="126">
        <f t="shared" ref="T35:U35" si="7">SUM(T23:T34)</f>
        <v>82634</v>
      </c>
      <c r="U35" s="126">
        <f t="shared" si="7"/>
        <v>53965</v>
      </c>
    </row>
    <row r="36" spans="1:21" x14ac:dyDescent="0.2">
      <c r="A36" s="25"/>
      <c r="B36" s="14"/>
      <c r="C36" s="14"/>
      <c r="D36" s="14"/>
      <c r="E36" s="41"/>
      <c r="F36" s="41"/>
      <c r="G36" s="41"/>
      <c r="H36" s="41"/>
      <c r="I36" s="44"/>
      <c r="J36" s="44"/>
      <c r="K36" s="44"/>
      <c r="L36" s="96"/>
      <c r="M36" s="96"/>
      <c r="N36" s="96"/>
      <c r="O36" s="96"/>
      <c r="P36" s="96"/>
      <c r="Q36" s="96"/>
      <c r="R36" s="96"/>
      <c r="S36" s="96"/>
      <c r="U36" s="96"/>
    </row>
    <row r="37" spans="1:21" x14ac:dyDescent="0.2">
      <c r="A37" s="24" t="s">
        <v>408</v>
      </c>
      <c r="B37" s="148">
        <v>5.0000000000000001E-3</v>
      </c>
      <c r="D37" s="94" t="s">
        <v>372</v>
      </c>
    </row>
    <row r="38" spans="1:21" x14ac:dyDescent="0.2">
      <c r="A38" s="25"/>
      <c r="B38" s="16">
        <v>2004</v>
      </c>
      <c r="C38" s="16">
        <v>2005</v>
      </c>
      <c r="D38" s="16">
        <v>2006</v>
      </c>
      <c r="E38" s="16">
        <v>2007</v>
      </c>
      <c r="F38" s="16">
        <v>2008</v>
      </c>
      <c r="G38" s="16">
        <v>2009</v>
      </c>
      <c r="H38" s="16">
        <v>2010</v>
      </c>
      <c r="I38" s="18">
        <v>2011</v>
      </c>
      <c r="J38" s="18">
        <v>2012</v>
      </c>
      <c r="K38" s="18">
        <v>2013</v>
      </c>
      <c r="L38" s="18">
        <v>2014</v>
      </c>
      <c r="M38" s="18">
        <v>2015</v>
      </c>
      <c r="N38" s="86">
        <v>2016</v>
      </c>
      <c r="O38" s="86">
        <v>2017</v>
      </c>
      <c r="P38" s="86">
        <v>2018</v>
      </c>
      <c r="Q38" s="86">
        <v>2019</v>
      </c>
      <c r="R38" s="86">
        <v>2020</v>
      </c>
      <c r="S38" s="86">
        <v>2021</v>
      </c>
      <c r="T38" s="86">
        <v>2022</v>
      </c>
      <c r="U38" s="86">
        <v>2023</v>
      </c>
    </row>
    <row r="39" spans="1:21" x14ac:dyDescent="0.2">
      <c r="A39" s="25"/>
      <c r="L39" s="94"/>
    </row>
    <row r="40" spans="1:21" x14ac:dyDescent="0.2">
      <c r="A40" s="26" t="s">
        <v>0</v>
      </c>
      <c r="B40" s="22"/>
      <c r="C40" s="22"/>
      <c r="D40" s="12"/>
      <c r="E40" s="41"/>
      <c r="F40" s="57"/>
      <c r="G40" s="59"/>
      <c r="H40" s="54"/>
      <c r="I40" s="2"/>
      <c r="J40" s="2"/>
      <c r="K40" s="2"/>
      <c r="L40" s="102"/>
      <c r="M40" s="117"/>
      <c r="N40" s="117"/>
      <c r="O40" s="117"/>
      <c r="P40" s="117"/>
      <c r="Q40" s="117"/>
      <c r="R40" s="117">
        <v>0</v>
      </c>
      <c r="S40" s="117">
        <v>0</v>
      </c>
      <c r="T40" s="1">
        <v>0</v>
      </c>
      <c r="U40" s="117">
        <v>0</v>
      </c>
    </row>
    <row r="41" spans="1:21" x14ac:dyDescent="0.2">
      <c r="A41" s="26" t="s">
        <v>1</v>
      </c>
      <c r="B41" s="22"/>
      <c r="C41" s="22"/>
      <c r="D41" s="12"/>
      <c r="E41" s="41"/>
      <c r="F41" s="41"/>
      <c r="G41" s="59"/>
      <c r="H41" s="54"/>
      <c r="I41" s="2"/>
      <c r="J41" s="2"/>
      <c r="K41" s="2"/>
      <c r="L41" s="102"/>
      <c r="M41" s="117"/>
      <c r="N41" s="117"/>
      <c r="O41" s="117"/>
      <c r="P41" s="117"/>
      <c r="Q41" s="117"/>
      <c r="R41" s="117">
        <v>0</v>
      </c>
      <c r="S41" s="117">
        <v>0</v>
      </c>
      <c r="T41" s="1">
        <v>0</v>
      </c>
      <c r="U41" s="117">
        <v>0</v>
      </c>
    </row>
    <row r="42" spans="1:21" x14ac:dyDescent="0.2">
      <c r="A42" s="26" t="s">
        <v>2</v>
      </c>
      <c r="B42" s="22"/>
      <c r="C42" s="22"/>
      <c r="D42" s="12"/>
      <c r="E42" s="41"/>
      <c r="F42" s="41"/>
      <c r="G42" s="59"/>
      <c r="H42" s="54"/>
      <c r="I42" s="2"/>
      <c r="J42" s="2"/>
      <c r="K42" s="2"/>
      <c r="L42" s="106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3</v>
      </c>
      <c r="B43" s="22"/>
      <c r="C43" s="22"/>
      <c r="D43" s="12"/>
      <c r="E43" s="41"/>
      <c r="F43" s="41"/>
      <c r="G43" s="59"/>
      <c r="H43" s="54"/>
      <c r="I43" s="2"/>
      <c r="J43" s="2"/>
      <c r="K43" s="2"/>
      <c r="L43" s="106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4</v>
      </c>
      <c r="B44" s="22"/>
      <c r="C44" s="22"/>
      <c r="D44" s="12"/>
      <c r="E44" s="41"/>
      <c r="F44" s="41"/>
      <c r="G44" s="59"/>
      <c r="H44" s="54"/>
      <c r="I44" s="2"/>
      <c r="J44" s="2"/>
      <c r="K44" s="2"/>
      <c r="L44" s="106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5</v>
      </c>
      <c r="B45" s="22"/>
      <c r="C45" s="22"/>
      <c r="D45" s="12"/>
      <c r="E45" s="41"/>
      <c r="F45" s="41"/>
      <c r="G45" s="59"/>
      <c r="H45" s="54"/>
      <c r="I45" s="2"/>
      <c r="J45" s="2"/>
      <c r="K45" s="2"/>
      <c r="L45" s="106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6</v>
      </c>
      <c r="B46" s="22"/>
      <c r="C46" s="22"/>
      <c r="D46" s="12"/>
      <c r="E46" s="41"/>
      <c r="F46" s="41"/>
      <c r="G46" s="59"/>
      <c r="H46" s="54"/>
      <c r="I46" s="2"/>
      <c r="J46" s="2"/>
      <c r="K46" s="2"/>
      <c r="L46" s="106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-2</v>
      </c>
      <c r="U46" s="117">
        <v>-45</v>
      </c>
    </row>
    <row r="47" spans="1:21" x14ac:dyDescent="0.2">
      <c r="A47" s="26" t="s">
        <v>7</v>
      </c>
      <c r="B47" s="22"/>
      <c r="C47" s="22"/>
      <c r="D47" s="12"/>
      <c r="E47" s="41"/>
      <c r="F47" s="41"/>
      <c r="G47" s="59"/>
      <c r="H47" s="54"/>
      <c r="I47" s="2"/>
      <c r="J47" s="2"/>
      <c r="K47" s="2"/>
      <c r="L47" s="106"/>
      <c r="M47" s="117"/>
      <c r="N47" s="117"/>
      <c r="O47" s="117"/>
      <c r="P47" s="117"/>
      <c r="Q47" s="117"/>
      <c r="R47" s="117">
        <v>0</v>
      </c>
      <c r="S47" s="1">
        <v>-2597</v>
      </c>
      <c r="T47" s="1">
        <v>0</v>
      </c>
      <c r="U47" s="1">
        <v>0</v>
      </c>
    </row>
    <row r="48" spans="1:21" x14ac:dyDescent="0.2">
      <c r="A48" s="26" t="s">
        <v>8</v>
      </c>
      <c r="B48" s="22"/>
      <c r="C48" s="22"/>
      <c r="D48" s="12"/>
      <c r="E48" s="41"/>
      <c r="F48" s="41"/>
      <c r="G48" s="59"/>
      <c r="H48" s="54"/>
      <c r="I48" s="2"/>
      <c r="J48" s="2"/>
      <c r="K48" s="2"/>
      <c r="L48" s="106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17">
        <v>-8</v>
      </c>
    </row>
    <row r="49" spans="1:21" x14ac:dyDescent="0.2">
      <c r="A49" s="26" t="s">
        <v>9</v>
      </c>
      <c r="B49" s="30"/>
      <c r="C49" s="22"/>
      <c r="D49" s="12"/>
      <c r="E49" s="41"/>
      <c r="F49" s="41"/>
      <c r="G49" s="59"/>
      <c r="H49" s="54"/>
      <c r="I49" s="2"/>
      <c r="J49" s="2"/>
      <c r="K49" s="2"/>
      <c r="L49" s="106"/>
      <c r="M49" s="117"/>
      <c r="N49" s="117"/>
      <c r="O49" s="117"/>
      <c r="P49" s="117"/>
      <c r="Q49" s="117">
        <v>0</v>
      </c>
      <c r="R49" s="117">
        <v>-505</v>
      </c>
      <c r="S49" s="117">
        <v>0</v>
      </c>
      <c r="T49" s="1">
        <v>0</v>
      </c>
      <c r="U49" s="117">
        <v>-1032</v>
      </c>
    </row>
    <row r="50" spans="1:21" x14ac:dyDescent="0.2">
      <c r="A50" s="26" t="s">
        <v>10</v>
      </c>
      <c r="B50" s="22"/>
      <c r="C50" s="22"/>
      <c r="D50" s="12"/>
      <c r="E50" s="41"/>
      <c r="F50" s="41"/>
      <c r="G50" s="59"/>
      <c r="H50" s="54"/>
      <c r="I50" s="2"/>
      <c r="J50" s="2"/>
      <c r="K50" s="2"/>
      <c r="L50" s="106"/>
      <c r="M50" s="117"/>
      <c r="N50" s="117"/>
      <c r="O50" s="117"/>
      <c r="P50" s="117"/>
      <c r="Q50" s="117">
        <v>0</v>
      </c>
      <c r="R50" s="117">
        <v>0</v>
      </c>
      <c r="S50" s="117">
        <v>0</v>
      </c>
      <c r="T50" s="1">
        <v>-2004</v>
      </c>
      <c r="U50" s="117">
        <v>0</v>
      </c>
    </row>
    <row r="51" spans="1:21" x14ac:dyDescent="0.2">
      <c r="A51" s="26" t="s">
        <v>11</v>
      </c>
      <c r="B51" s="23"/>
      <c r="C51" s="23"/>
      <c r="D51" s="23"/>
      <c r="E51" s="58"/>
      <c r="F51" s="58"/>
      <c r="G51" s="60"/>
      <c r="H51" s="61"/>
      <c r="I51" s="40"/>
      <c r="J51" s="40"/>
      <c r="K51" s="40"/>
      <c r="L51" s="95"/>
      <c r="M51" s="95"/>
      <c r="N51" s="95"/>
      <c r="O51" s="95"/>
      <c r="P51" s="95"/>
      <c r="Q51" s="168">
        <v>0</v>
      </c>
      <c r="R51" s="168">
        <v>0</v>
      </c>
      <c r="S51" s="182">
        <v>-732</v>
      </c>
      <c r="T51" s="1">
        <v>0</v>
      </c>
      <c r="U51" s="182">
        <v>-96</v>
      </c>
    </row>
    <row r="52" spans="1:21" x14ac:dyDescent="0.2">
      <c r="A52" s="25"/>
      <c r="B52" s="14"/>
      <c r="C52" s="14"/>
      <c r="D52" s="14"/>
      <c r="E52" s="41"/>
      <c r="F52" s="41">
        <f>SUM(F41:F51)</f>
        <v>0</v>
      </c>
      <c r="G52" s="41">
        <f t="shared" ref="G52:L52" si="8">SUM(G40:G51)</f>
        <v>0</v>
      </c>
      <c r="H52" s="41">
        <f t="shared" si="8"/>
        <v>0</v>
      </c>
      <c r="I52" s="44">
        <f t="shared" si="8"/>
        <v>0</v>
      </c>
      <c r="J52" s="44">
        <f t="shared" si="8"/>
        <v>0</v>
      </c>
      <c r="K52" s="44">
        <f t="shared" si="8"/>
        <v>0</v>
      </c>
      <c r="L52" s="96">
        <f t="shared" si="8"/>
        <v>0</v>
      </c>
      <c r="M52" s="96">
        <f t="shared" ref="M52:Q52" si="9">SUM(M40:M51)</f>
        <v>0</v>
      </c>
      <c r="N52" s="96">
        <f t="shared" si="9"/>
        <v>0</v>
      </c>
      <c r="O52" s="96">
        <f t="shared" si="9"/>
        <v>0</v>
      </c>
      <c r="P52" s="96">
        <f t="shared" si="9"/>
        <v>0</v>
      </c>
      <c r="Q52" s="96">
        <f t="shared" si="9"/>
        <v>0</v>
      </c>
      <c r="R52" s="126">
        <f t="shared" ref="R52:S52" si="10">SUM(R40:R51)</f>
        <v>-505</v>
      </c>
      <c r="S52" s="126">
        <f t="shared" si="10"/>
        <v>-3329</v>
      </c>
      <c r="T52" s="126">
        <f t="shared" ref="T52:U52" si="11">SUM(T40:T51)</f>
        <v>-2006</v>
      </c>
      <c r="U52" s="126">
        <f t="shared" si="11"/>
        <v>-1181</v>
      </c>
    </row>
    <row r="53" spans="1:21" x14ac:dyDescent="0.2">
      <c r="A53" s="25"/>
      <c r="B53" s="14"/>
      <c r="C53" s="14"/>
      <c r="D53" s="14"/>
      <c r="E53" s="41"/>
      <c r="F53" s="41"/>
      <c r="G53" s="41"/>
      <c r="H53" s="41"/>
      <c r="I53" s="44"/>
      <c r="J53" s="44"/>
      <c r="K53" s="44"/>
      <c r="L53" s="96"/>
      <c r="M53" s="96"/>
      <c r="N53" s="96"/>
      <c r="O53" s="96"/>
      <c r="P53" s="96"/>
      <c r="Q53" s="96"/>
      <c r="R53" s="96"/>
      <c r="S53" s="96"/>
      <c r="U53" s="96"/>
    </row>
    <row r="54" spans="1:21" x14ac:dyDescent="0.2">
      <c r="L54" s="94"/>
    </row>
    <row r="55" spans="1:21" x14ac:dyDescent="0.2">
      <c r="A55" s="5" t="s">
        <v>136</v>
      </c>
      <c r="B55" s="147">
        <v>0.01</v>
      </c>
      <c r="D55" s="94" t="s">
        <v>201</v>
      </c>
    </row>
    <row r="56" spans="1:21" x14ac:dyDescent="0.2">
      <c r="B56" s="16">
        <v>2004</v>
      </c>
      <c r="C56" s="16">
        <v>2005</v>
      </c>
      <c r="D56" s="16">
        <v>2006</v>
      </c>
      <c r="E56" s="16">
        <v>2007</v>
      </c>
      <c r="F56" s="16">
        <v>2008</v>
      </c>
      <c r="G56" s="16">
        <v>2009</v>
      </c>
      <c r="H56" s="16">
        <v>2010</v>
      </c>
      <c r="I56" s="16">
        <v>2011</v>
      </c>
      <c r="J56" s="16">
        <v>2012</v>
      </c>
      <c r="K56" s="16">
        <v>2013</v>
      </c>
      <c r="L56" s="18">
        <v>2014</v>
      </c>
      <c r="M56" s="18">
        <v>2015</v>
      </c>
      <c r="N56" s="86">
        <v>2016</v>
      </c>
      <c r="O56" s="86">
        <v>2017</v>
      </c>
      <c r="P56" s="86">
        <v>2018</v>
      </c>
      <c r="Q56" s="86">
        <v>2019</v>
      </c>
      <c r="R56" s="86">
        <v>2020</v>
      </c>
      <c r="S56" s="86">
        <v>2021</v>
      </c>
      <c r="T56" s="86">
        <v>2022</v>
      </c>
      <c r="U56" s="86">
        <v>2023</v>
      </c>
    </row>
    <row r="57" spans="1:21" x14ac:dyDescent="0.2">
      <c r="L57" s="94"/>
    </row>
    <row r="58" spans="1:21" x14ac:dyDescent="0.2">
      <c r="A58" s="3" t="s">
        <v>0</v>
      </c>
      <c r="B58" s="12"/>
      <c r="C58" s="12"/>
      <c r="D58" s="12"/>
      <c r="E58" s="12"/>
      <c r="F58" s="12"/>
      <c r="G58" s="12"/>
      <c r="I58" s="42"/>
      <c r="J58" s="42">
        <v>23512</v>
      </c>
      <c r="K58" s="42">
        <v>25331</v>
      </c>
      <c r="L58" s="105">
        <v>25642</v>
      </c>
      <c r="M58" s="117">
        <v>27992</v>
      </c>
      <c r="N58" s="117">
        <v>29317</v>
      </c>
      <c r="O58" s="117">
        <v>29551</v>
      </c>
      <c r="P58" s="117">
        <v>31486</v>
      </c>
      <c r="Q58" s="117">
        <v>54405</v>
      </c>
      <c r="R58" s="1">
        <v>34818</v>
      </c>
      <c r="S58" s="1">
        <v>22359</v>
      </c>
      <c r="T58" s="1">
        <v>34152</v>
      </c>
      <c r="U58" s="1">
        <v>33369</v>
      </c>
    </row>
    <row r="59" spans="1:21" x14ac:dyDescent="0.2">
      <c r="A59" s="3" t="s">
        <v>1</v>
      </c>
      <c r="B59" s="12"/>
      <c r="C59" s="12"/>
      <c r="D59" s="12"/>
      <c r="E59" s="12"/>
      <c r="F59" s="12"/>
      <c r="G59" s="12"/>
      <c r="I59" s="42"/>
      <c r="J59" s="42">
        <v>21097</v>
      </c>
      <c r="K59" s="42">
        <v>20983</v>
      </c>
      <c r="L59" s="105">
        <v>21493</v>
      </c>
      <c r="M59" s="117">
        <v>25326</v>
      </c>
      <c r="N59" s="117">
        <v>26304</v>
      </c>
      <c r="O59" s="117">
        <v>28517</v>
      </c>
      <c r="P59" s="117">
        <v>30710</v>
      </c>
      <c r="Q59" s="117">
        <v>53157</v>
      </c>
      <c r="R59" s="113">
        <v>29790</v>
      </c>
      <c r="S59" s="1">
        <v>27863</v>
      </c>
      <c r="T59" s="1">
        <v>30484</v>
      </c>
      <c r="U59" s="1">
        <v>31512</v>
      </c>
    </row>
    <row r="60" spans="1:21" x14ac:dyDescent="0.2">
      <c r="A60" s="3" t="s">
        <v>2</v>
      </c>
      <c r="B60" s="12"/>
      <c r="C60" s="12"/>
      <c r="D60" s="12"/>
      <c r="E60" s="12"/>
      <c r="F60" s="12"/>
      <c r="G60" s="12"/>
      <c r="I60" s="42"/>
      <c r="J60" s="42">
        <v>21258</v>
      </c>
      <c r="K60" s="42">
        <v>24090</v>
      </c>
      <c r="L60" s="105">
        <v>22408</v>
      </c>
      <c r="M60" s="117">
        <v>24299</v>
      </c>
      <c r="N60" s="117">
        <v>27415</v>
      </c>
      <c r="O60" s="117">
        <v>27243</v>
      </c>
      <c r="P60" s="117">
        <v>30517</v>
      </c>
      <c r="Q60" s="117">
        <v>29045</v>
      </c>
      <c r="R60" s="113">
        <v>33043</v>
      </c>
      <c r="S60" s="1">
        <v>26820</v>
      </c>
      <c r="T60" s="1">
        <v>30405</v>
      </c>
      <c r="U60" s="1">
        <v>36817</v>
      </c>
    </row>
    <row r="61" spans="1:21" x14ac:dyDescent="0.2">
      <c r="A61" s="3" t="s">
        <v>3</v>
      </c>
      <c r="B61" s="12"/>
      <c r="C61" s="12"/>
      <c r="D61" s="12"/>
      <c r="E61" s="12"/>
      <c r="F61" s="12"/>
      <c r="G61" s="12"/>
      <c r="I61" s="42"/>
      <c r="J61" s="42">
        <v>24546</v>
      </c>
      <c r="K61" s="42">
        <v>23432</v>
      </c>
      <c r="L61" s="105">
        <v>25582</v>
      </c>
      <c r="M61" s="117">
        <v>27796</v>
      </c>
      <c r="N61" s="117">
        <v>29087</v>
      </c>
      <c r="O61" s="117">
        <v>30929</v>
      </c>
      <c r="P61" s="117">
        <v>33113</v>
      </c>
      <c r="Q61" s="117">
        <v>34105</v>
      </c>
      <c r="R61" s="117">
        <v>25116</v>
      </c>
      <c r="S61" s="1">
        <v>35071</v>
      </c>
      <c r="T61" s="1">
        <v>34062</v>
      </c>
      <c r="U61" s="1">
        <v>36217</v>
      </c>
    </row>
    <row r="62" spans="1:21" x14ac:dyDescent="0.2">
      <c r="A62" s="3" t="s">
        <v>4</v>
      </c>
      <c r="B62" s="12"/>
      <c r="C62" s="12"/>
      <c r="D62" s="12"/>
      <c r="E62" s="12"/>
      <c r="F62" s="12"/>
      <c r="G62" s="12"/>
      <c r="I62" s="42">
        <v>21267</v>
      </c>
      <c r="J62" s="42">
        <v>23824</v>
      </c>
      <c r="K62" s="42">
        <v>23823</v>
      </c>
      <c r="L62" s="105">
        <v>26048</v>
      </c>
      <c r="M62" s="117">
        <v>28869</v>
      </c>
      <c r="N62" s="117">
        <v>30233</v>
      </c>
      <c r="O62" s="117">
        <v>30978</v>
      </c>
      <c r="P62" s="117">
        <v>31329</v>
      </c>
      <c r="Q62" s="117">
        <v>33846</v>
      </c>
      <c r="R62" s="117">
        <v>18232</v>
      </c>
      <c r="S62" s="1">
        <v>34878</v>
      </c>
      <c r="T62" s="1">
        <v>33248</v>
      </c>
      <c r="U62" s="1">
        <v>33967</v>
      </c>
    </row>
    <row r="63" spans="1:21" x14ac:dyDescent="0.2">
      <c r="A63" s="3" t="s">
        <v>5</v>
      </c>
      <c r="B63" s="12"/>
      <c r="C63" s="12"/>
      <c r="D63" s="12"/>
      <c r="E63" s="12"/>
      <c r="F63" s="12"/>
      <c r="I63" s="42">
        <v>25101</v>
      </c>
      <c r="J63" s="42">
        <v>29758</v>
      </c>
      <c r="K63" s="42">
        <v>29181</v>
      </c>
      <c r="L63" s="105">
        <v>32611</v>
      </c>
      <c r="M63" s="117">
        <v>35066</v>
      </c>
      <c r="N63" s="117">
        <v>36352</v>
      </c>
      <c r="O63" s="117">
        <v>37482</v>
      </c>
      <c r="P63" s="117">
        <v>40697</v>
      </c>
      <c r="Q63" s="117">
        <v>43250</v>
      </c>
      <c r="R63" s="113">
        <v>28276</v>
      </c>
      <c r="S63" s="1">
        <v>43364</v>
      </c>
      <c r="T63" s="1">
        <v>49301</v>
      </c>
      <c r="U63" s="1">
        <v>48293</v>
      </c>
    </row>
    <row r="64" spans="1:21" x14ac:dyDescent="0.2">
      <c r="A64" s="3" t="s">
        <v>6</v>
      </c>
      <c r="B64" s="12"/>
      <c r="C64" s="12"/>
      <c r="D64" s="12"/>
      <c r="E64" s="12"/>
      <c r="F64" s="12"/>
      <c r="I64" s="42">
        <v>31679</v>
      </c>
      <c r="J64" s="42">
        <v>32156</v>
      </c>
      <c r="K64" s="42">
        <v>31949</v>
      </c>
      <c r="L64" s="105">
        <v>34931</v>
      </c>
      <c r="M64" s="117">
        <v>37913</v>
      </c>
      <c r="N64" s="117">
        <v>37030</v>
      </c>
      <c r="O64" s="117">
        <v>38629</v>
      </c>
      <c r="P64" s="117">
        <v>41552</v>
      </c>
      <c r="Q64" s="117">
        <v>48521</v>
      </c>
      <c r="R64" s="1">
        <v>43318</v>
      </c>
      <c r="S64" s="1">
        <v>46483</v>
      </c>
      <c r="T64" s="1">
        <v>51857</v>
      </c>
      <c r="U64" s="1">
        <v>60788</v>
      </c>
    </row>
    <row r="65" spans="1:21" x14ac:dyDescent="0.2">
      <c r="A65" s="3" t="s">
        <v>7</v>
      </c>
      <c r="B65" s="12"/>
      <c r="C65" s="12"/>
      <c r="D65" s="12"/>
      <c r="E65" s="12"/>
      <c r="F65" s="12"/>
      <c r="I65" s="42">
        <v>38129</v>
      </c>
      <c r="J65" s="42">
        <v>44089</v>
      </c>
      <c r="K65" s="42">
        <v>42669</v>
      </c>
      <c r="L65" s="105">
        <v>45827</v>
      </c>
      <c r="M65" s="117">
        <v>45407</v>
      </c>
      <c r="N65" s="117">
        <v>55797</v>
      </c>
      <c r="O65" s="117">
        <v>60079</v>
      </c>
      <c r="P65" s="117">
        <v>62748</v>
      </c>
      <c r="Q65" s="117">
        <v>59557</v>
      </c>
      <c r="R65" s="1">
        <v>51763</v>
      </c>
      <c r="S65" s="1">
        <v>67515</v>
      </c>
      <c r="T65" s="1">
        <v>62487</v>
      </c>
      <c r="U65" s="1">
        <v>64933</v>
      </c>
    </row>
    <row r="66" spans="1:21" x14ac:dyDescent="0.2">
      <c r="A66" s="3" t="s">
        <v>8</v>
      </c>
      <c r="B66" s="12"/>
      <c r="C66" s="12"/>
      <c r="D66" s="12"/>
      <c r="E66" s="12"/>
      <c r="F66" s="12"/>
      <c r="I66" s="42">
        <v>32969</v>
      </c>
      <c r="J66" s="42">
        <v>36987</v>
      </c>
      <c r="K66" s="42">
        <v>39643</v>
      </c>
      <c r="L66" s="105">
        <v>42655</v>
      </c>
      <c r="M66" s="117">
        <v>42907</v>
      </c>
      <c r="N66" s="117">
        <v>43220</v>
      </c>
      <c r="O66" s="117">
        <v>44035</v>
      </c>
      <c r="P66" s="117">
        <v>47523</v>
      </c>
      <c r="Q66" s="117">
        <v>57426</v>
      </c>
      <c r="R66" s="2">
        <v>45221</v>
      </c>
      <c r="S66" s="1">
        <v>51544</v>
      </c>
      <c r="T66" s="1">
        <v>44839</v>
      </c>
      <c r="U66" s="1">
        <v>55287</v>
      </c>
    </row>
    <row r="67" spans="1:21" x14ac:dyDescent="0.2">
      <c r="A67" s="3" t="s">
        <v>9</v>
      </c>
      <c r="B67" s="12"/>
      <c r="C67" s="12"/>
      <c r="D67" s="12"/>
      <c r="E67" s="12"/>
      <c r="F67" s="12"/>
      <c r="I67" s="42">
        <v>26616</v>
      </c>
      <c r="J67" s="42">
        <v>29057</v>
      </c>
      <c r="K67" s="42">
        <v>29601</v>
      </c>
      <c r="L67" s="104">
        <v>31711</v>
      </c>
      <c r="M67" s="117">
        <v>32783</v>
      </c>
      <c r="N67" s="117">
        <v>36174</v>
      </c>
      <c r="O67" s="117">
        <v>37504</v>
      </c>
      <c r="P67" s="117">
        <v>36634</v>
      </c>
      <c r="Q67" s="117">
        <v>39073</v>
      </c>
      <c r="R67" s="1">
        <v>36756</v>
      </c>
      <c r="S67" s="1">
        <v>41376</v>
      </c>
      <c r="T67" s="1">
        <v>44156</v>
      </c>
      <c r="U67" s="1">
        <v>47049</v>
      </c>
    </row>
    <row r="68" spans="1:21" x14ac:dyDescent="0.2">
      <c r="A68" s="3" t="s">
        <v>10</v>
      </c>
      <c r="B68" s="12"/>
      <c r="C68" s="12"/>
      <c r="D68" s="12"/>
      <c r="E68" s="12"/>
      <c r="F68" s="12"/>
      <c r="I68" s="42">
        <v>23750</v>
      </c>
      <c r="J68" s="42">
        <v>24675</v>
      </c>
      <c r="K68" s="42">
        <v>25961</v>
      </c>
      <c r="L68" s="104">
        <v>27783</v>
      </c>
      <c r="M68" s="117">
        <v>29001</v>
      </c>
      <c r="N68" s="117">
        <v>31669</v>
      </c>
      <c r="O68" s="117">
        <v>31443</v>
      </c>
      <c r="P68" s="117">
        <v>31646</v>
      </c>
      <c r="Q68" s="117">
        <v>34037</v>
      </c>
      <c r="R68" s="1">
        <v>31984</v>
      </c>
      <c r="S68" s="1">
        <v>37014</v>
      </c>
      <c r="T68" s="1">
        <v>38369</v>
      </c>
      <c r="U68" s="1">
        <v>38973</v>
      </c>
    </row>
    <row r="69" spans="1:21" x14ac:dyDescent="0.2">
      <c r="A69" s="3" t="s">
        <v>11</v>
      </c>
      <c r="B69" s="9"/>
      <c r="C69" s="9"/>
      <c r="D69" s="9"/>
      <c r="E69" s="9"/>
      <c r="F69" s="9"/>
      <c r="G69" s="62"/>
      <c r="H69" s="62"/>
      <c r="I69" s="48">
        <v>21092</v>
      </c>
      <c r="J69" s="48">
        <v>23091</v>
      </c>
      <c r="K69" s="48">
        <v>22896</v>
      </c>
      <c r="L69" s="95">
        <v>24714</v>
      </c>
      <c r="M69" s="95">
        <v>24572</v>
      </c>
      <c r="N69" s="95">
        <v>26780</v>
      </c>
      <c r="O69" s="95">
        <v>32764</v>
      </c>
      <c r="P69" s="95">
        <v>32314</v>
      </c>
      <c r="Q69" s="95">
        <v>30306</v>
      </c>
      <c r="R69" s="1">
        <v>23722</v>
      </c>
      <c r="S69" s="1">
        <v>30778</v>
      </c>
      <c r="T69" s="1">
        <v>31667</v>
      </c>
      <c r="U69" s="1">
        <v>33959</v>
      </c>
    </row>
    <row r="70" spans="1:21" x14ac:dyDescent="0.2">
      <c r="B70" s="14"/>
      <c r="C70" s="14"/>
      <c r="D70" s="14"/>
      <c r="E70" s="14"/>
      <c r="F70" s="14"/>
      <c r="I70" s="44">
        <f t="shared" ref="I70:N70" si="12">SUM(I58:I69)</f>
        <v>220603</v>
      </c>
      <c r="J70" s="44">
        <f t="shared" si="12"/>
        <v>334050</v>
      </c>
      <c r="K70" s="44">
        <f t="shared" si="12"/>
        <v>339559</v>
      </c>
      <c r="L70" s="96">
        <f t="shared" si="12"/>
        <v>361405</v>
      </c>
      <c r="M70" s="96">
        <f t="shared" si="12"/>
        <v>381931</v>
      </c>
      <c r="N70" s="96">
        <f t="shared" si="12"/>
        <v>409378</v>
      </c>
      <c r="O70" s="96">
        <f t="shared" ref="O70:P70" si="13">SUM(O58:O69)</f>
        <v>429154</v>
      </c>
      <c r="P70" s="96">
        <f t="shared" si="13"/>
        <v>450269</v>
      </c>
      <c r="Q70" s="96">
        <f t="shared" ref="Q70:S70" si="14">SUM(Q58:Q69)</f>
        <v>516728</v>
      </c>
      <c r="R70" s="126">
        <f t="shared" ref="R70" si="15">SUM(R58:R69)</f>
        <v>402039</v>
      </c>
      <c r="S70" s="126">
        <f t="shared" si="14"/>
        <v>465065</v>
      </c>
      <c r="T70" s="126">
        <f t="shared" ref="T70:U70" si="16">SUM(T58:T69)</f>
        <v>485027</v>
      </c>
      <c r="U70" s="126">
        <f t="shared" si="16"/>
        <v>521164</v>
      </c>
    </row>
    <row r="72" spans="1:21" x14ac:dyDescent="0.2">
      <c r="L72" s="96"/>
    </row>
    <row r="73" spans="1:21" x14ac:dyDescent="0.2">
      <c r="L73" s="94"/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2:U55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20" customWidth="1"/>
    <col min="2" max="8" width="5" bestFit="1" customWidth="1"/>
    <col min="9" max="11" width="7.5703125" bestFit="1" customWidth="1"/>
    <col min="12" max="14" width="8.140625" bestFit="1" customWidth="1"/>
    <col min="15" max="16" width="9.7109375" bestFit="1" customWidth="1"/>
    <col min="17" max="17" width="8.140625" bestFit="1" customWidth="1"/>
    <col min="18" max="19" width="8.28515625" bestFit="1" customWidth="1"/>
  </cols>
  <sheetData>
    <row r="2" spans="1:21" x14ac:dyDescent="0.2">
      <c r="A2" s="5" t="s">
        <v>127</v>
      </c>
      <c r="B2" s="147">
        <v>0.01</v>
      </c>
      <c r="D2" s="94" t="s">
        <v>202</v>
      </c>
    </row>
    <row r="3" spans="1:21" x14ac:dyDescent="0.2"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6">
        <v>2012</v>
      </c>
      <c r="K3" s="16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L4" s="94"/>
    </row>
    <row r="5" spans="1:21" x14ac:dyDescent="0.2">
      <c r="A5" s="3" t="s">
        <v>0</v>
      </c>
      <c r="B5" s="12"/>
      <c r="C5" s="12"/>
      <c r="D5" s="12"/>
      <c r="E5" s="12"/>
      <c r="F5" s="12"/>
      <c r="G5" s="12"/>
      <c r="I5" s="42"/>
      <c r="J5" s="42">
        <v>4000</v>
      </c>
      <c r="K5" s="42">
        <v>3500</v>
      </c>
      <c r="L5" s="105">
        <v>3424</v>
      </c>
      <c r="M5" s="117">
        <v>2561</v>
      </c>
      <c r="N5" s="117">
        <v>1737</v>
      </c>
      <c r="O5" s="117">
        <v>-176086</v>
      </c>
      <c r="P5" s="117">
        <v>741</v>
      </c>
      <c r="Q5" s="117">
        <v>734</v>
      </c>
      <c r="R5" s="1">
        <v>1144</v>
      </c>
      <c r="S5" s="1">
        <v>277</v>
      </c>
      <c r="T5" s="1">
        <v>628</v>
      </c>
      <c r="U5" s="1">
        <v>793</v>
      </c>
    </row>
    <row r="6" spans="1:21" x14ac:dyDescent="0.2">
      <c r="A6" s="3" t="s">
        <v>1</v>
      </c>
      <c r="B6" s="12"/>
      <c r="C6" s="12"/>
      <c r="D6" s="12"/>
      <c r="E6" s="12"/>
      <c r="F6" s="12"/>
      <c r="G6" s="12"/>
      <c r="I6" s="42"/>
      <c r="J6" s="42">
        <v>3881</v>
      </c>
      <c r="K6" s="42">
        <v>3683</v>
      </c>
      <c r="L6" s="105">
        <v>3784</v>
      </c>
      <c r="M6" s="117">
        <v>4044</v>
      </c>
      <c r="N6" s="117">
        <v>2905</v>
      </c>
      <c r="O6" s="117">
        <v>1220</v>
      </c>
      <c r="P6" s="117">
        <v>1871</v>
      </c>
      <c r="Q6" s="117">
        <v>1938</v>
      </c>
      <c r="R6" s="113">
        <v>1958</v>
      </c>
      <c r="S6" s="1">
        <v>61</v>
      </c>
      <c r="T6" s="1">
        <v>5001</v>
      </c>
      <c r="U6" s="1">
        <v>3132</v>
      </c>
    </row>
    <row r="7" spans="1:21" x14ac:dyDescent="0.2">
      <c r="A7" s="3" t="s">
        <v>2</v>
      </c>
      <c r="B7" s="12"/>
      <c r="C7" s="12"/>
      <c r="D7" s="12"/>
      <c r="E7" s="12"/>
      <c r="F7" s="12"/>
      <c r="G7" s="12"/>
      <c r="I7" s="42"/>
      <c r="J7" s="42">
        <v>4783</v>
      </c>
      <c r="K7" s="42">
        <v>6129</v>
      </c>
      <c r="L7" s="105">
        <v>3555</v>
      </c>
      <c r="M7" s="117">
        <v>3282</v>
      </c>
      <c r="N7" s="117">
        <v>3122</v>
      </c>
      <c r="O7" s="117">
        <v>2044</v>
      </c>
      <c r="P7" s="117">
        <v>1891</v>
      </c>
      <c r="Q7" s="117">
        <v>1905</v>
      </c>
      <c r="R7" s="113">
        <v>1941</v>
      </c>
      <c r="S7" s="117">
        <v>706</v>
      </c>
      <c r="T7" s="1">
        <v>1406</v>
      </c>
      <c r="U7" s="1">
        <v>1858</v>
      </c>
    </row>
    <row r="8" spans="1:21" x14ac:dyDescent="0.2">
      <c r="A8" s="3" t="s">
        <v>3</v>
      </c>
      <c r="B8" s="12"/>
      <c r="C8" s="12"/>
      <c r="D8" s="12"/>
      <c r="E8" s="12"/>
      <c r="F8" s="12"/>
      <c r="G8" s="12"/>
      <c r="I8" s="42"/>
      <c r="J8" s="42">
        <v>5827</v>
      </c>
      <c r="K8" s="42">
        <v>6985</v>
      </c>
      <c r="L8" s="105">
        <v>5428</v>
      </c>
      <c r="M8" s="117">
        <v>5469</v>
      </c>
      <c r="N8" s="117">
        <v>3737</v>
      </c>
      <c r="O8" s="117">
        <v>1534</v>
      </c>
      <c r="P8" s="117">
        <v>1992</v>
      </c>
      <c r="Q8" s="117">
        <v>1696</v>
      </c>
      <c r="R8" s="117">
        <v>1146</v>
      </c>
      <c r="S8" s="117">
        <v>1160</v>
      </c>
      <c r="T8" s="1">
        <v>2660</v>
      </c>
      <c r="U8" s="1">
        <v>2501</v>
      </c>
    </row>
    <row r="9" spans="1:21" x14ac:dyDescent="0.2">
      <c r="A9" s="3" t="s">
        <v>4</v>
      </c>
      <c r="B9" s="12"/>
      <c r="C9" s="12"/>
      <c r="D9" s="12"/>
      <c r="E9" s="12"/>
      <c r="F9" s="12"/>
      <c r="G9" s="12"/>
      <c r="I9" s="42"/>
      <c r="J9" s="42">
        <v>1783</v>
      </c>
      <c r="K9" s="42">
        <v>768</v>
      </c>
      <c r="L9" s="105">
        <v>992</v>
      </c>
      <c r="M9" s="117">
        <v>607</v>
      </c>
      <c r="N9" s="117">
        <v>190</v>
      </c>
      <c r="O9" s="117">
        <v>466</v>
      </c>
      <c r="P9" s="117">
        <v>524</v>
      </c>
      <c r="Q9" s="117">
        <v>575</v>
      </c>
      <c r="R9" s="117">
        <v>14</v>
      </c>
      <c r="S9" s="1">
        <v>747</v>
      </c>
      <c r="T9" s="1">
        <v>700</v>
      </c>
      <c r="U9" s="1">
        <v>962</v>
      </c>
    </row>
    <row r="10" spans="1:21" x14ac:dyDescent="0.2">
      <c r="A10" s="3" t="s">
        <v>5</v>
      </c>
      <c r="B10" s="12"/>
      <c r="C10" s="12"/>
      <c r="D10" s="12"/>
      <c r="E10" s="12"/>
      <c r="F10" s="12"/>
      <c r="I10" s="42"/>
      <c r="J10" s="42">
        <v>4595</v>
      </c>
      <c r="K10" s="42">
        <v>4026</v>
      </c>
      <c r="L10" s="105">
        <v>2741</v>
      </c>
      <c r="M10" s="117">
        <v>3088</v>
      </c>
      <c r="N10" s="117">
        <v>1869</v>
      </c>
      <c r="O10" s="117">
        <v>1156</v>
      </c>
      <c r="P10" s="117">
        <v>708</v>
      </c>
      <c r="Q10" s="117">
        <v>821</v>
      </c>
      <c r="R10" s="117">
        <v>185</v>
      </c>
      <c r="S10" s="117">
        <v>913</v>
      </c>
      <c r="T10" s="1">
        <v>731</v>
      </c>
      <c r="U10" s="1">
        <v>1101</v>
      </c>
    </row>
    <row r="11" spans="1:21" x14ac:dyDescent="0.2">
      <c r="A11" s="3" t="s">
        <v>6</v>
      </c>
      <c r="B11" s="12"/>
      <c r="C11" s="12"/>
      <c r="D11" s="12"/>
      <c r="E11" s="12"/>
      <c r="F11" s="12"/>
      <c r="I11" s="42"/>
      <c r="J11" s="42">
        <v>6049</v>
      </c>
      <c r="K11" s="42">
        <v>7254</v>
      </c>
      <c r="L11" s="105">
        <v>7038</v>
      </c>
      <c r="M11" s="117">
        <v>3520</v>
      </c>
      <c r="N11" s="117">
        <v>7546</v>
      </c>
      <c r="O11" s="117">
        <v>1936</v>
      </c>
      <c r="P11" s="117">
        <v>1648</v>
      </c>
      <c r="Q11" s="117">
        <v>1326</v>
      </c>
      <c r="R11" s="1">
        <v>663</v>
      </c>
      <c r="S11" s="1">
        <v>2043</v>
      </c>
      <c r="T11" s="1">
        <v>2859</v>
      </c>
      <c r="U11" s="1">
        <v>3104</v>
      </c>
    </row>
    <row r="12" spans="1:21" x14ac:dyDescent="0.2">
      <c r="A12" s="3" t="s">
        <v>7</v>
      </c>
      <c r="B12" s="12"/>
      <c r="C12" s="12"/>
      <c r="D12" s="12"/>
      <c r="E12" s="12"/>
      <c r="F12" s="12"/>
      <c r="I12" s="42">
        <v>682</v>
      </c>
      <c r="J12" s="42">
        <v>6459</v>
      </c>
      <c r="K12" s="42">
        <v>7115</v>
      </c>
      <c r="L12" s="105">
        <v>5878</v>
      </c>
      <c r="M12" s="117">
        <v>10409</v>
      </c>
      <c r="N12" s="117">
        <v>1911</v>
      </c>
      <c r="O12" s="117">
        <v>2058</v>
      </c>
      <c r="P12" s="117">
        <v>1456</v>
      </c>
      <c r="Q12" s="117">
        <v>2320</v>
      </c>
      <c r="R12" s="1">
        <v>1398</v>
      </c>
      <c r="S12" s="1">
        <v>3458</v>
      </c>
      <c r="T12" s="1">
        <v>2270</v>
      </c>
      <c r="U12" s="1">
        <v>2341</v>
      </c>
    </row>
    <row r="13" spans="1:21" x14ac:dyDescent="0.2">
      <c r="A13" s="3" t="s">
        <v>8</v>
      </c>
      <c r="B13" s="12"/>
      <c r="C13" s="12"/>
      <c r="D13" s="12"/>
      <c r="E13" s="12"/>
      <c r="F13" s="12"/>
      <c r="I13" s="42">
        <v>181</v>
      </c>
      <c r="J13" s="42">
        <v>8802</v>
      </c>
      <c r="K13" s="42">
        <v>9053</v>
      </c>
      <c r="L13" s="105">
        <v>9171</v>
      </c>
      <c r="M13" s="117">
        <v>7601</v>
      </c>
      <c r="N13" s="117">
        <v>2850</v>
      </c>
      <c r="O13" s="117">
        <v>3043</v>
      </c>
      <c r="P13" s="117">
        <v>1628</v>
      </c>
      <c r="Q13" s="117">
        <v>2156</v>
      </c>
      <c r="R13" s="2">
        <v>1892</v>
      </c>
      <c r="S13" s="1">
        <v>255</v>
      </c>
      <c r="T13" s="1">
        <v>4254</v>
      </c>
      <c r="U13" s="1">
        <v>4371</v>
      </c>
    </row>
    <row r="14" spans="1:21" x14ac:dyDescent="0.2">
      <c r="A14" s="3" t="s">
        <v>9</v>
      </c>
      <c r="B14" s="12"/>
      <c r="C14" s="12"/>
      <c r="D14" s="12"/>
      <c r="E14" s="12"/>
      <c r="F14" s="12"/>
      <c r="I14" s="42">
        <v>978</v>
      </c>
      <c r="J14" s="42">
        <v>9732</v>
      </c>
      <c r="K14" s="42">
        <v>9254</v>
      </c>
      <c r="L14" s="104">
        <v>8025</v>
      </c>
      <c r="M14" s="117">
        <v>6709</v>
      </c>
      <c r="N14" s="117">
        <v>2347</v>
      </c>
      <c r="O14" s="117">
        <v>2245</v>
      </c>
      <c r="P14" s="117">
        <v>1521</v>
      </c>
      <c r="Q14" s="117">
        <v>1651</v>
      </c>
      <c r="R14" s="1">
        <v>1782</v>
      </c>
      <c r="S14" s="1">
        <v>2883</v>
      </c>
      <c r="T14" s="1">
        <v>3461</v>
      </c>
      <c r="U14" s="1">
        <v>2355</v>
      </c>
    </row>
    <row r="15" spans="1:21" x14ac:dyDescent="0.2">
      <c r="A15" s="3" t="s">
        <v>10</v>
      </c>
      <c r="B15" s="12"/>
      <c r="C15" s="12"/>
      <c r="D15" s="12"/>
      <c r="E15" s="12"/>
      <c r="F15" s="12"/>
      <c r="I15" s="42">
        <v>3352</v>
      </c>
      <c r="J15" s="42">
        <v>1688</v>
      </c>
      <c r="K15" s="42">
        <v>2155</v>
      </c>
      <c r="L15" s="104">
        <v>1654</v>
      </c>
      <c r="M15" s="117">
        <v>1866</v>
      </c>
      <c r="N15" s="117">
        <v>1556</v>
      </c>
      <c r="O15" s="117">
        <v>1198</v>
      </c>
      <c r="P15" s="117">
        <v>1102</v>
      </c>
      <c r="Q15" s="117">
        <v>931</v>
      </c>
      <c r="R15" s="1">
        <v>1038</v>
      </c>
      <c r="S15" s="1">
        <v>1024</v>
      </c>
      <c r="T15" s="1">
        <v>1450</v>
      </c>
      <c r="U15" s="1">
        <v>1613</v>
      </c>
    </row>
    <row r="16" spans="1:21" x14ac:dyDescent="0.2">
      <c r="A16" s="3" t="s">
        <v>11</v>
      </c>
      <c r="B16" s="9"/>
      <c r="C16" s="9"/>
      <c r="D16" s="9"/>
      <c r="E16" s="9"/>
      <c r="F16" s="9"/>
      <c r="G16" s="62"/>
      <c r="H16" s="62"/>
      <c r="I16" s="48">
        <v>276</v>
      </c>
      <c r="J16" s="48">
        <v>537</v>
      </c>
      <c r="K16" s="48">
        <v>618</v>
      </c>
      <c r="L16" s="95">
        <v>260</v>
      </c>
      <c r="M16" s="95">
        <v>85</v>
      </c>
      <c r="N16" s="95">
        <v>514</v>
      </c>
      <c r="O16" s="95">
        <v>353</v>
      </c>
      <c r="P16" s="95">
        <v>491</v>
      </c>
      <c r="Q16" s="95">
        <v>552</v>
      </c>
      <c r="R16" s="95">
        <v>96</v>
      </c>
      <c r="S16" s="95">
        <v>235</v>
      </c>
      <c r="T16" s="1">
        <v>273</v>
      </c>
      <c r="U16" s="95">
        <v>474</v>
      </c>
    </row>
    <row r="17" spans="1:21" x14ac:dyDescent="0.2">
      <c r="B17" s="14"/>
      <c r="C17" s="14"/>
      <c r="D17" s="14"/>
      <c r="E17" s="14"/>
      <c r="F17" s="14"/>
      <c r="I17" s="44">
        <f t="shared" ref="I17:N17" si="0">SUM(I5:I16)</f>
        <v>5469</v>
      </c>
      <c r="J17" s="44">
        <f t="shared" si="0"/>
        <v>58136</v>
      </c>
      <c r="K17" s="44">
        <f t="shared" si="0"/>
        <v>60540</v>
      </c>
      <c r="L17" s="96">
        <f t="shared" si="0"/>
        <v>51950</v>
      </c>
      <c r="M17" s="96">
        <f t="shared" si="0"/>
        <v>49241</v>
      </c>
      <c r="N17" s="96">
        <f t="shared" si="0"/>
        <v>30284</v>
      </c>
      <c r="O17" s="96">
        <f t="shared" ref="O17:P17" si="1">SUM(O5:O16)</f>
        <v>-158833</v>
      </c>
      <c r="P17" s="96">
        <f t="shared" si="1"/>
        <v>15573</v>
      </c>
      <c r="Q17" s="96">
        <f t="shared" ref="Q17:S17" si="2">SUM(Q5:Q16)</f>
        <v>16605</v>
      </c>
      <c r="R17" s="126">
        <f t="shared" ref="R17" si="3">SUM(R5:R16)</f>
        <v>13257</v>
      </c>
      <c r="S17" s="126">
        <f t="shared" si="2"/>
        <v>13762</v>
      </c>
      <c r="T17" s="126">
        <f t="shared" ref="T17:U17" si="4">SUM(T5:T16)</f>
        <v>25693</v>
      </c>
      <c r="U17" s="126">
        <f t="shared" si="4"/>
        <v>24605</v>
      </c>
    </row>
    <row r="18" spans="1:21" x14ac:dyDescent="0.2">
      <c r="L18" s="94"/>
    </row>
    <row r="19" spans="1:21" x14ac:dyDescent="0.2">
      <c r="L19" s="94"/>
    </row>
    <row r="20" spans="1:21" x14ac:dyDescent="0.2">
      <c r="L20" s="94"/>
    </row>
    <row r="21" spans="1:21" x14ac:dyDescent="0.2">
      <c r="A21" s="5" t="s">
        <v>128</v>
      </c>
      <c r="B21" s="147">
        <v>0.02</v>
      </c>
      <c r="D21" s="94" t="s">
        <v>202</v>
      </c>
      <c r="L21" s="94"/>
    </row>
    <row r="22" spans="1:21" x14ac:dyDescent="0.2"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6">
        <v>2012</v>
      </c>
      <c r="K22" s="16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4" spans="1:21" x14ac:dyDescent="0.2">
      <c r="A24" s="3" t="s">
        <v>0</v>
      </c>
      <c r="B24" s="12"/>
      <c r="C24" s="12"/>
      <c r="D24" s="12"/>
      <c r="E24" s="12"/>
      <c r="F24" s="12"/>
      <c r="G24" s="12"/>
      <c r="I24" s="42"/>
      <c r="J24" s="42">
        <v>4263</v>
      </c>
      <c r="K24" s="42">
        <v>4004</v>
      </c>
      <c r="L24" s="105">
        <v>3020</v>
      </c>
      <c r="M24" s="117">
        <v>4189</v>
      </c>
      <c r="N24" s="117">
        <v>5041</v>
      </c>
      <c r="O24" s="117">
        <v>4280</v>
      </c>
      <c r="P24" s="117">
        <v>4521</v>
      </c>
      <c r="Q24" s="117">
        <v>4580</v>
      </c>
      <c r="R24" s="117">
        <v>5755</v>
      </c>
      <c r="S24" s="1">
        <v>5902</v>
      </c>
      <c r="T24" s="1">
        <v>6461</v>
      </c>
      <c r="U24" s="1">
        <v>6770</v>
      </c>
    </row>
    <row r="25" spans="1:21" x14ac:dyDescent="0.2">
      <c r="A25" s="3" t="s">
        <v>1</v>
      </c>
      <c r="B25" s="12"/>
      <c r="C25" s="12"/>
      <c r="D25" s="12"/>
      <c r="E25" s="12"/>
      <c r="F25" s="12"/>
      <c r="G25" s="12"/>
      <c r="I25" s="42"/>
      <c r="J25" s="42">
        <v>4244</v>
      </c>
      <c r="K25" s="42">
        <v>3412</v>
      </c>
      <c r="L25" s="105">
        <v>4954</v>
      </c>
      <c r="M25" s="117">
        <v>6057</v>
      </c>
      <c r="N25" s="117">
        <v>6455</v>
      </c>
      <c r="O25" s="117">
        <v>3901</v>
      </c>
      <c r="P25" s="117">
        <v>5039</v>
      </c>
      <c r="Q25" s="117">
        <v>5009</v>
      </c>
      <c r="R25" s="113">
        <v>4817</v>
      </c>
      <c r="S25" s="1">
        <v>5477</v>
      </c>
      <c r="T25" s="1">
        <v>6123</v>
      </c>
      <c r="U25" s="1">
        <v>7570</v>
      </c>
    </row>
    <row r="26" spans="1:21" x14ac:dyDescent="0.2">
      <c r="A26" s="3" t="s">
        <v>2</v>
      </c>
      <c r="B26" s="12"/>
      <c r="C26" s="12"/>
      <c r="D26" s="12"/>
      <c r="E26" s="12"/>
      <c r="F26" s="12"/>
      <c r="G26" s="12"/>
      <c r="I26" s="42"/>
      <c r="J26" s="42">
        <v>4259</v>
      </c>
      <c r="K26" s="42">
        <v>5753</v>
      </c>
      <c r="L26" s="105">
        <v>4328</v>
      </c>
      <c r="M26" s="117">
        <v>5059</v>
      </c>
      <c r="N26" s="117">
        <v>5472</v>
      </c>
      <c r="O26" s="117">
        <v>6521</v>
      </c>
      <c r="P26" s="117">
        <v>5635</v>
      </c>
      <c r="Q26" s="117">
        <v>7449</v>
      </c>
      <c r="R26" s="113">
        <v>7746</v>
      </c>
      <c r="S26" s="1">
        <v>4959</v>
      </c>
      <c r="T26" s="1">
        <v>8494</v>
      </c>
      <c r="U26" s="1">
        <v>9816</v>
      </c>
    </row>
    <row r="27" spans="1:21" x14ac:dyDescent="0.2">
      <c r="A27" s="3" t="s">
        <v>3</v>
      </c>
      <c r="B27" s="12"/>
      <c r="C27" s="12"/>
      <c r="D27" s="12"/>
      <c r="E27" s="12"/>
      <c r="F27" s="12"/>
      <c r="G27" s="12"/>
      <c r="I27" s="42"/>
      <c r="J27" s="42">
        <v>3457</v>
      </c>
      <c r="K27" s="42">
        <v>4002</v>
      </c>
      <c r="L27" s="105">
        <v>4220</v>
      </c>
      <c r="M27" s="117">
        <v>3130</v>
      </c>
      <c r="N27" s="117">
        <v>3433</v>
      </c>
      <c r="O27" s="117">
        <v>3914</v>
      </c>
      <c r="P27" s="117">
        <v>10843</v>
      </c>
      <c r="Q27" s="117">
        <v>5924</v>
      </c>
      <c r="R27" s="117">
        <v>3073</v>
      </c>
      <c r="S27" s="117">
        <v>6354</v>
      </c>
      <c r="T27" s="1">
        <v>7892</v>
      </c>
      <c r="U27" s="1">
        <v>8433</v>
      </c>
    </row>
    <row r="28" spans="1:21" x14ac:dyDescent="0.2">
      <c r="A28" s="3" t="s">
        <v>4</v>
      </c>
      <c r="B28" s="12"/>
      <c r="C28" s="12"/>
      <c r="D28" s="12"/>
      <c r="E28" s="12"/>
      <c r="F28" s="12"/>
      <c r="G28" s="12"/>
      <c r="I28" s="42"/>
      <c r="J28" s="42">
        <v>1751</v>
      </c>
      <c r="K28" s="42">
        <v>996</v>
      </c>
      <c r="L28" s="105">
        <v>749</v>
      </c>
      <c r="M28" s="117">
        <v>822</v>
      </c>
      <c r="N28" s="117">
        <v>686</v>
      </c>
      <c r="O28" s="117">
        <v>808</v>
      </c>
      <c r="P28" s="117">
        <v>924</v>
      </c>
      <c r="Q28" s="117">
        <v>1408</v>
      </c>
      <c r="R28" s="117">
        <v>135</v>
      </c>
      <c r="S28" s="1">
        <v>978</v>
      </c>
      <c r="T28" s="1">
        <v>1204</v>
      </c>
      <c r="U28" s="1">
        <v>2157</v>
      </c>
    </row>
    <row r="29" spans="1:21" x14ac:dyDescent="0.2">
      <c r="A29" s="3" t="s">
        <v>5</v>
      </c>
      <c r="B29" s="12"/>
      <c r="C29" s="12"/>
      <c r="D29" s="12"/>
      <c r="E29" s="12"/>
      <c r="F29" s="12"/>
      <c r="I29" s="42"/>
      <c r="J29" s="42">
        <v>1879</v>
      </c>
      <c r="K29" s="42">
        <v>1104</v>
      </c>
      <c r="L29" s="105">
        <v>1617</v>
      </c>
      <c r="M29" s="117">
        <v>2096</v>
      </c>
      <c r="N29" s="117">
        <v>1778</v>
      </c>
      <c r="O29" s="117">
        <v>2046</v>
      </c>
      <c r="P29" s="117">
        <v>2436</v>
      </c>
      <c r="Q29" s="117">
        <v>2055</v>
      </c>
      <c r="R29" s="117">
        <v>1186</v>
      </c>
      <c r="S29" s="117">
        <v>2469</v>
      </c>
      <c r="T29" s="1">
        <v>1904</v>
      </c>
      <c r="U29" s="1">
        <v>2567</v>
      </c>
    </row>
    <row r="30" spans="1:21" x14ac:dyDescent="0.2">
      <c r="A30" s="3" t="s">
        <v>6</v>
      </c>
      <c r="B30" s="12"/>
      <c r="C30" s="12"/>
      <c r="D30" s="12"/>
      <c r="E30" s="12"/>
      <c r="F30" s="12"/>
      <c r="I30" s="42"/>
      <c r="J30" s="42">
        <v>2625</v>
      </c>
      <c r="K30" s="42">
        <v>2239</v>
      </c>
      <c r="L30" s="105">
        <v>2918</v>
      </c>
      <c r="M30" s="117">
        <v>3354</v>
      </c>
      <c r="N30" s="117">
        <v>3289</v>
      </c>
      <c r="O30" s="117">
        <v>4224</v>
      </c>
      <c r="P30" s="117">
        <v>6261</v>
      </c>
      <c r="Q30" s="117">
        <v>3892</v>
      </c>
      <c r="R30" s="1">
        <v>3534</v>
      </c>
      <c r="S30" s="1">
        <v>7853</v>
      </c>
      <c r="T30" s="1">
        <v>7658</v>
      </c>
      <c r="U30" s="1">
        <v>9833</v>
      </c>
    </row>
    <row r="31" spans="1:21" x14ac:dyDescent="0.2">
      <c r="A31" s="3" t="s">
        <v>7</v>
      </c>
      <c r="B31" s="12"/>
      <c r="C31" s="12"/>
      <c r="D31" s="12"/>
      <c r="E31" s="12"/>
      <c r="F31" s="12"/>
      <c r="I31" s="42">
        <v>3844</v>
      </c>
      <c r="J31" s="42">
        <v>4305</v>
      </c>
      <c r="K31" s="42">
        <v>4452</v>
      </c>
      <c r="L31" s="105">
        <v>4575</v>
      </c>
      <c r="M31" s="117">
        <v>6254</v>
      </c>
      <c r="N31" s="117">
        <v>7392</v>
      </c>
      <c r="O31" s="117">
        <v>6739</v>
      </c>
      <c r="P31" s="117">
        <v>7287</v>
      </c>
      <c r="Q31" s="117">
        <v>6907</v>
      </c>
      <c r="R31" s="1">
        <v>7043</v>
      </c>
      <c r="S31" s="1">
        <v>9936</v>
      </c>
      <c r="T31" s="1">
        <v>10243</v>
      </c>
      <c r="U31" s="1">
        <v>10274</v>
      </c>
    </row>
    <row r="32" spans="1:21" x14ac:dyDescent="0.2">
      <c r="A32" s="3" t="s">
        <v>8</v>
      </c>
      <c r="B32" s="12"/>
      <c r="C32" s="12"/>
      <c r="D32" s="12"/>
      <c r="E32" s="12"/>
      <c r="F32" s="12"/>
      <c r="I32" s="42">
        <v>3829</v>
      </c>
      <c r="J32" s="42">
        <v>4075</v>
      </c>
      <c r="K32" s="42">
        <v>4659</v>
      </c>
      <c r="L32" s="105">
        <v>6230</v>
      </c>
      <c r="M32" s="117">
        <v>5474</v>
      </c>
      <c r="N32" s="117">
        <v>5592</v>
      </c>
      <c r="O32" s="117">
        <v>5959</v>
      </c>
      <c r="P32" s="117">
        <v>5412</v>
      </c>
      <c r="Q32" s="117">
        <v>6219</v>
      </c>
      <c r="R32" s="2">
        <v>7618</v>
      </c>
      <c r="S32" s="1">
        <v>9284</v>
      </c>
      <c r="T32" s="1">
        <v>9640</v>
      </c>
      <c r="U32" s="1">
        <v>11084</v>
      </c>
    </row>
    <row r="33" spans="1:21" x14ac:dyDescent="0.2">
      <c r="A33" s="3" t="s">
        <v>9</v>
      </c>
      <c r="B33" s="12"/>
      <c r="C33" s="12"/>
      <c r="D33" s="12"/>
      <c r="E33" s="12"/>
      <c r="F33" s="12"/>
      <c r="I33" s="42">
        <v>3319</v>
      </c>
      <c r="J33" s="42">
        <v>2655</v>
      </c>
      <c r="K33" s="42">
        <v>3255</v>
      </c>
      <c r="L33" s="104">
        <v>3304</v>
      </c>
      <c r="M33" s="117">
        <v>4109</v>
      </c>
      <c r="N33" s="117">
        <v>4406</v>
      </c>
      <c r="O33" s="117">
        <v>4826</v>
      </c>
      <c r="P33" s="117">
        <v>3513</v>
      </c>
      <c r="Q33" s="117">
        <v>4474</v>
      </c>
      <c r="R33" s="1">
        <v>5693</v>
      </c>
      <c r="S33" s="1">
        <v>6306</v>
      </c>
      <c r="T33" s="1">
        <v>7210</v>
      </c>
      <c r="U33" s="1">
        <v>8321</v>
      </c>
    </row>
    <row r="34" spans="1:21" x14ac:dyDescent="0.2">
      <c r="A34" s="3" t="s">
        <v>10</v>
      </c>
      <c r="B34" s="12"/>
      <c r="C34" s="12"/>
      <c r="D34" s="12"/>
      <c r="E34" s="12"/>
      <c r="F34" s="12"/>
      <c r="I34" s="42">
        <v>1504</v>
      </c>
      <c r="J34" s="42">
        <v>957</v>
      </c>
      <c r="K34" s="42">
        <v>900</v>
      </c>
      <c r="L34" s="104">
        <v>2355</v>
      </c>
      <c r="M34" s="117">
        <v>2058</v>
      </c>
      <c r="N34" s="117">
        <v>2315</v>
      </c>
      <c r="O34" s="117">
        <v>2416</v>
      </c>
      <c r="P34" s="117">
        <v>2667</v>
      </c>
      <c r="Q34" s="117">
        <v>2785</v>
      </c>
      <c r="R34" s="1">
        <v>3333</v>
      </c>
      <c r="S34" s="1">
        <v>3620</v>
      </c>
      <c r="T34" s="1">
        <v>3579</v>
      </c>
      <c r="U34" s="1">
        <v>10057</v>
      </c>
    </row>
    <row r="35" spans="1:21" x14ac:dyDescent="0.2">
      <c r="A35" s="3" t="s">
        <v>11</v>
      </c>
      <c r="B35" s="9"/>
      <c r="C35" s="9"/>
      <c r="D35" s="9"/>
      <c r="E35" s="9"/>
      <c r="F35" s="9"/>
      <c r="G35" s="62"/>
      <c r="H35" s="62"/>
      <c r="I35" s="48">
        <v>1687</v>
      </c>
      <c r="J35" s="48">
        <v>1047</v>
      </c>
      <c r="K35" s="48">
        <v>1000</v>
      </c>
      <c r="L35" s="95">
        <v>840</v>
      </c>
      <c r="M35" s="95">
        <v>1180</v>
      </c>
      <c r="N35" s="95">
        <v>2196</v>
      </c>
      <c r="O35" s="95">
        <v>1643</v>
      </c>
      <c r="P35" s="95">
        <v>-1639</v>
      </c>
      <c r="Q35" s="95">
        <v>1461</v>
      </c>
      <c r="R35" s="95">
        <v>833</v>
      </c>
      <c r="S35" s="95">
        <v>1337</v>
      </c>
      <c r="T35" s="1">
        <v>1140</v>
      </c>
      <c r="U35" s="1">
        <v>3181</v>
      </c>
    </row>
    <row r="36" spans="1:21" x14ac:dyDescent="0.2">
      <c r="B36" s="14"/>
      <c r="C36" s="14"/>
      <c r="D36" s="14"/>
      <c r="E36" s="14"/>
      <c r="F36" s="14"/>
      <c r="I36" s="44">
        <f t="shared" ref="I36:O36" si="5">SUM(I24:I35)</f>
        <v>14183</v>
      </c>
      <c r="J36" s="44">
        <f t="shared" si="5"/>
        <v>35517</v>
      </c>
      <c r="K36" s="44">
        <f t="shared" si="5"/>
        <v>35776</v>
      </c>
      <c r="L36" s="96">
        <f t="shared" si="5"/>
        <v>39110</v>
      </c>
      <c r="M36" s="96">
        <f t="shared" si="5"/>
        <v>43782</v>
      </c>
      <c r="N36" s="96">
        <f t="shared" si="5"/>
        <v>48055</v>
      </c>
      <c r="O36" s="96">
        <f t="shared" si="5"/>
        <v>47277</v>
      </c>
      <c r="P36" s="96">
        <f t="shared" ref="P36:Q36" si="6">SUM(P24:P35)</f>
        <v>52899</v>
      </c>
      <c r="Q36" s="96">
        <f t="shared" si="6"/>
        <v>52163</v>
      </c>
      <c r="R36" s="126">
        <f t="shared" ref="R36:S36" si="7">SUM(R24:R35)</f>
        <v>50766</v>
      </c>
      <c r="S36" s="126">
        <f t="shared" si="7"/>
        <v>64475</v>
      </c>
      <c r="T36" s="126">
        <f t="shared" ref="T36:U36" si="8">SUM(T24:T35)</f>
        <v>71548</v>
      </c>
      <c r="U36" s="126">
        <f t="shared" si="8"/>
        <v>90063</v>
      </c>
    </row>
    <row r="37" spans="1:21" x14ac:dyDescent="0.2">
      <c r="L37" s="94"/>
    </row>
    <row r="40" spans="1:21" x14ac:dyDescent="0.2">
      <c r="A40" s="5" t="s">
        <v>129</v>
      </c>
      <c r="B40" s="147">
        <v>0.02</v>
      </c>
      <c r="D40" s="94" t="s">
        <v>202</v>
      </c>
    </row>
    <row r="41" spans="1:21" x14ac:dyDescent="0.2">
      <c r="B41" s="16">
        <v>2004</v>
      </c>
      <c r="C41" s="16">
        <v>2005</v>
      </c>
      <c r="D41" s="16">
        <v>2006</v>
      </c>
      <c r="E41" s="16">
        <v>2007</v>
      </c>
      <c r="F41" s="16">
        <v>2008</v>
      </c>
      <c r="G41" s="16">
        <v>2009</v>
      </c>
      <c r="H41" s="16">
        <v>2010</v>
      </c>
      <c r="I41" s="16">
        <v>2011</v>
      </c>
      <c r="J41" s="16">
        <v>2012</v>
      </c>
      <c r="K41" s="16">
        <v>2013</v>
      </c>
      <c r="L41" s="16">
        <v>2014</v>
      </c>
      <c r="M41" s="18">
        <v>2015</v>
      </c>
      <c r="N41" s="86">
        <v>2016</v>
      </c>
      <c r="O41" s="86">
        <v>2017</v>
      </c>
      <c r="P41" s="86">
        <v>2018</v>
      </c>
      <c r="Q41" s="86">
        <v>2019</v>
      </c>
      <c r="R41" s="86">
        <v>2020</v>
      </c>
      <c r="S41" s="86">
        <v>2021</v>
      </c>
      <c r="T41" s="86">
        <v>2022</v>
      </c>
      <c r="U41" s="86">
        <v>2023</v>
      </c>
    </row>
    <row r="43" spans="1:21" x14ac:dyDescent="0.2">
      <c r="A43" s="3" t="s">
        <v>0</v>
      </c>
      <c r="B43" s="12"/>
      <c r="C43" s="12"/>
      <c r="D43" s="12"/>
      <c r="E43" s="12"/>
      <c r="F43" s="12"/>
      <c r="G43" s="12"/>
      <c r="I43" s="42"/>
      <c r="J43" s="42">
        <v>4105</v>
      </c>
      <c r="K43" s="42">
        <v>3754</v>
      </c>
      <c r="L43" s="114">
        <v>3134</v>
      </c>
      <c r="M43" s="117">
        <v>3190</v>
      </c>
      <c r="N43" s="117">
        <v>2456</v>
      </c>
      <c r="O43" s="117">
        <v>2995</v>
      </c>
      <c r="P43" s="117">
        <v>1597</v>
      </c>
      <c r="Q43" s="117">
        <v>1443</v>
      </c>
      <c r="R43" s="117">
        <v>1929</v>
      </c>
      <c r="S43" s="1">
        <v>3545</v>
      </c>
      <c r="T43" s="1">
        <v>1385</v>
      </c>
      <c r="U43" s="1">
        <v>1490</v>
      </c>
    </row>
    <row r="44" spans="1:21" x14ac:dyDescent="0.2">
      <c r="A44" s="3" t="s">
        <v>1</v>
      </c>
      <c r="B44" s="12"/>
      <c r="C44" s="12"/>
      <c r="D44" s="12"/>
      <c r="E44" s="12"/>
      <c r="F44" s="12"/>
      <c r="G44" s="12"/>
      <c r="I44" s="42"/>
      <c r="J44" s="42">
        <v>3660</v>
      </c>
      <c r="K44" s="42">
        <v>3247</v>
      </c>
      <c r="L44" s="114">
        <v>3467</v>
      </c>
      <c r="M44" s="117">
        <v>4179</v>
      </c>
      <c r="N44" s="117">
        <v>3730</v>
      </c>
      <c r="O44" s="117">
        <v>3721</v>
      </c>
      <c r="P44" s="117">
        <v>5160</v>
      </c>
      <c r="Q44" s="117">
        <v>6193</v>
      </c>
      <c r="R44" s="113">
        <v>8789</v>
      </c>
      <c r="S44" s="117">
        <v>0</v>
      </c>
      <c r="T44" s="1">
        <v>23722</v>
      </c>
      <c r="U44" s="1">
        <v>16520</v>
      </c>
    </row>
    <row r="45" spans="1:21" x14ac:dyDescent="0.2">
      <c r="A45" s="3" t="s">
        <v>2</v>
      </c>
      <c r="B45" s="12"/>
      <c r="C45" s="12"/>
      <c r="D45" s="12"/>
      <c r="E45" s="12"/>
      <c r="F45" s="12"/>
      <c r="G45" s="12"/>
      <c r="I45" s="42"/>
      <c r="J45" s="42">
        <v>5090</v>
      </c>
      <c r="K45" s="42">
        <v>5114</v>
      </c>
      <c r="L45" s="114">
        <v>5052</v>
      </c>
      <c r="M45" s="117">
        <v>3043</v>
      </c>
      <c r="N45" s="117">
        <v>4451</v>
      </c>
      <c r="O45" s="117">
        <v>4775</v>
      </c>
      <c r="P45" s="117">
        <v>5153</v>
      </c>
      <c r="Q45" s="117">
        <v>4665</v>
      </c>
      <c r="R45" s="113">
        <v>5546</v>
      </c>
      <c r="S45" s="1">
        <v>5091</v>
      </c>
      <c r="T45" s="1">
        <v>4731</v>
      </c>
      <c r="U45" s="1">
        <v>8483</v>
      </c>
    </row>
    <row r="46" spans="1:21" x14ac:dyDescent="0.2">
      <c r="A46" s="3" t="s">
        <v>3</v>
      </c>
      <c r="B46" s="12"/>
      <c r="C46" s="12"/>
      <c r="D46" s="12"/>
      <c r="E46" s="12"/>
      <c r="F46" s="12"/>
      <c r="G46" s="12"/>
      <c r="I46" s="42"/>
      <c r="J46" s="42">
        <v>4033</v>
      </c>
      <c r="K46" s="42">
        <v>6043</v>
      </c>
      <c r="L46" s="114">
        <v>5754</v>
      </c>
      <c r="M46" s="117">
        <v>4942</v>
      </c>
      <c r="N46" s="117">
        <v>4200</v>
      </c>
      <c r="O46" s="117">
        <v>1626</v>
      </c>
      <c r="P46" s="117">
        <v>6205</v>
      </c>
      <c r="Q46" s="117">
        <v>4268</v>
      </c>
      <c r="R46" s="117">
        <v>4668</v>
      </c>
      <c r="S46" s="117">
        <v>7243</v>
      </c>
      <c r="T46" s="1">
        <v>10949</v>
      </c>
      <c r="U46" s="1">
        <v>11087</v>
      </c>
    </row>
    <row r="47" spans="1:21" x14ac:dyDescent="0.2">
      <c r="A47" s="3" t="s">
        <v>4</v>
      </c>
      <c r="B47" s="12"/>
      <c r="C47" s="12"/>
      <c r="D47" s="12"/>
      <c r="E47" s="12"/>
      <c r="F47" s="12"/>
      <c r="G47" s="12"/>
      <c r="I47" s="42"/>
      <c r="J47" s="42">
        <v>797</v>
      </c>
      <c r="K47" s="42">
        <v>614</v>
      </c>
      <c r="L47" s="114">
        <v>975</v>
      </c>
      <c r="M47" s="117">
        <v>619</v>
      </c>
      <c r="N47" s="117">
        <v>295</v>
      </c>
      <c r="O47" s="117">
        <v>364</v>
      </c>
      <c r="P47" s="117">
        <v>1634</v>
      </c>
      <c r="Q47" s="117">
        <v>2236</v>
      </c>
      <c r="R47" s="117">
        <v>279</v>
      </c>
      <c r="S47" s="1">
        <v>9476</v>
      </c>
      <c r="T47" s="1">
        <v>1128</v>
      </c>
      <c r="U47" s="1">
        <v>1544</v>
      </c>
    </row>
    <row r="48" spans="1:21" x14ac:dyDescent="0.2">
      <c r="A48" s="3" t="s">
        <v>5</v>
      </c>
      <c r="B48" s="12"/>
      <c r="C48" s="12"/>
      <c r="D48" s="12"/>
      <c r="E48" s="12"/>
      <c r="F48" s="12"/>
      <c r="I48" s="42"/>
      <c r="J48" s="42">
        <v>4555</v>
      </c>
      <c r="K48" s="42">
        <v>2646</v>
      </c>
      <c r="L48" s="114">
        <v>2166</v>
      </c>
      <c r="M48" s="117">
        <v>2152</v>
      </c>
      <c r="N48" s="117">
        <v>1587</v>
      </c>
      <c r="O48" s="117">
        <v>1292</v>
      </c>
      <c r="P48" s="117">
        <v>1656</v>
      </c>
      <c r="Q48" s="117">
        <v>1003</v>
      </c>
      <c r="R48" s="117">
        <v>2320</v>
      </c>
      <c r="S48" s="117">
        <v>2070</v>
      </c>
      <c r="T48" s="1">
        <v>1974</v>
      </c>
      <c r="U48" s="1">
        <v>3074</v>
      </c>
    </row>
    <row r="49" spans="1:21" x14ac:dyDescent="0.2">
      <c r="A49" s="3" t="s">
        <v>6</v>
      </c>
      <c r="B49" s="12"/>
      <c r="C49" s="12"/>
      <c r="D49" s="12"/>
      <c r="E49" s="12"/>
      <c r="F49" s="12"/>
      <c r="I49" s="42"/>
      <c r="J49" s="42">
        <v>4760</v>
      </c>
      <c r="K49" s="42">
        <v>5253</v>
      </c>
      <c r="L49" s="114">
        <v>5640</v>
      </c>
      <c r="M49" s="117">
        <v>9765</v>
      </c>
      <c r="N49" s="117">
        <v>4943</v>
      </c>
      <c r="O49" s="117">
        <v>5987</v>
      </c>
      <c r="P49" s="117">
        <v>2590</v>
      </c>
      <c r="Q49" s="117">
        <v>3202</v>
      </c>
      <c r="R49" s="1">
        <v>4011</v>
      </c>
      <c r="S49" s="1">
        <v>8527</v>
      </c>
      <c r="T49" s="1">
        <v>11725</v>
      </c>
      <c r="U49" s="1">
        <v>12625</v>
      </c>
    </row>
    <row r="50" spans="1:21" x14ac:dyDescent="0.2">
      <c r="A50" s="3" t="s">
        <v>7</v>
      </c>
      <c r="B50" s="12"/>
      <c r="C50" s="12"/>
      <c r="D50" s="12"/>
      <c r="E50" s="12"/>
      <c r="F50" s="12"/>
      <c r="I50" s="42">
        <v>6</v>
      </c>
      <c r="J50" s="42">
        <v>5676</v>
      </c>
      <c r="K50" s="42">
        <v>6277</v>
      </c>
      <c r="L50" s="114">
        <v>6329</v>
      </c>
      <c r="M50" s="117">
        <v>4259</v>
      </c>
      <c r="N50" s="117">
        <v>6859</v>
      </c>
      <c r="O50" s="117">
        <v>7041</v>
      </c>
      <c r="P50" s="117">
        <v>2982</v>
      </c>
      <c r="Q50" s="117">
        <v>6220</v>
      </c>
      <c r="R50" s="1">
        <v>7646</v>
      </c>
      <c r="S50" s="1">
        <v>13852</v>
      </c>
      <c r="T50" s="1">
        <v>8495</v>
      </c>
      <c r="U50" s="1">
        <v>10257</v>
      </c>
    </row>
    <row r="51" spans="1:21" x14ac:dyDescent="0.2">
      <c r="A51" s="3" t="s">
        <v>8</v>
      </c>
      <c r="B51" s="12"/>
      <c r="C51" s="12"/>
      <c r="D51" s="12"/>
      <c r="E51" s="12"/>
      <c r="F51" s="12"/>
      <c r="I51" s="42">
        <v>60</v>
      </c>
      <c r="J51" s="42">
        <v>8357</v>
      </c>
      <c r="K51" s="42">
        <v>8014</v>
      </c>
      <c r="L51" s="114">
        <v>8780</v>
      </c>
      <c r="M51" s="117">
        <v>8393</v>
      </c>
      <c r="N51" s="117">
        <v>9491</v>
      </c>
      <c r="O51" s="117">
        <v>10876</v>
      </c>
      <c r="P51" s="117">
        <v>3602</v>
      </c>
      <c r="Q51" s="117">
        <v>7171</v>
      </c>
      <c r="R51" s="2">
        <v>9618</v>
      </c>
      <c r="S51" s="117">
        <v>0</v>
      </c>
      <c r="T51" s="1">
        <v>17584</v>
      </c>
      <c r="U51" s="1">
        <v>18861</v>
      </c>
    </row>
    <row r="52" spans="1:21" x14ac:dyDescent="0.2">
      <c r="A52" s="3" t="s">
        <v>9</v>
      </c>
      <c r="B52" s="12"/>
      <c r="C52" s="12"/>
      <c r="D52" s="12"/>
      <c r="E52" s="12"/>
      <c r="F52" s="12"/>
      <c r="I52" s="42">
        <v>25</v>
      </c>
      <c r="J52" s="42">
        <v>6097</v>
      </c>
      <c r="K52" s="42">
        <v>6346</v>
      </c>
      <c r="L52" s="54">
        <v>6425</v>
      </c>
      <c r="M52" s="117">
        <v>6761</v>
      </c>
      <c r="N52" s="117">
        <v>5851</v>
      </c>
      <c r="O52" s="117">
        <v>7624</v>
      </c>
      <c r="P52" s="117">
        <v>3043</v>
      </c>
      <c r="Q52" s="117">
        <v>4027</v>
      </c>
      <c r="R52" s="1">
        <v>9752</v>
      </c>
      <c r="S52" s="1">
        <v>11052</v>
      </c>
      <c r="T52" s="1">
        <v>12143</v>
      </c>
      <c r="U52" s="1">
        <v>11264</v>
      </c>
    </row>
    <row r="53" spans="1:21" x14ac:dyDescent="0.2">
      <c r="A53" s="3" t="s">
        <v>10</v>
      </c>
      <c r="B53" s="12"/>
      <c r="C53" s="12"/>
      <c r="D53" s="12"/>
      <c r="E53" s="12"/>
      <c r="F53" s="12"/>
      <c r="I53" s="42">
        <v>16287</v>
      </c>
      <c r="J53" s="42">
        <v>555</v>
      </c>
      <c r="K53" s="42">
        <v>1050</v>
      </c>
      <c r="L53" s="54">
        <v>1074</v>
      </c>
      <c r="M53" s="117">
        <v>1644</v>
      </c>
      <c r="N53" s="117">
        <v>1895</v>
      </c>
      <c r="O53" s="117">
        <v>4697</v>
      </c>
      <c r="P53" s="117">
        <v>918</v>
      </c>
      <c r="Q53" s="117">
        <v>1151</v>
      </c>
      <c r="R53" s="1">
        <v>4852</v>
      </c>
      <c r="S53" s="1">
        <v>3102</v>
      </c>
      <c r="T53" s="1">
        <v>3391</v>
      </c>
      <c r="U53" s="1">
        <v>3433</v>
      </c>
    </row>
    <row r="54" spans="1:21" x14ac:dyDescent="0.2">
      <c r="A54" s="3" t="s">
        <v>11</v>
      </c>
      <c r="B54" s="9"/>
      <c r="C54" s="9"/>
      <c r="D54" s="9"/>
      <c r="E54" s="9"/>
      <c r="F54" s="9"/>
      <c r="G54" s="62"/>
      <c r="H54" s="62"/>
      <c r="I54" s="48">
        <v>114</v>
      </c>
      <c r="J54" s="48">
        <v>48</v>
      </c>
      <c r="K54" s="48">
        <v>164</v>
      </c>
      <c r="L54" s="61">
        <v>219</v>
      </c>
      <c r="M54" s="95">
        <v>156</v>
      </c>
      <c r="N54" s="95">
        <v>225</v>
      </c>
      <c r="O54" s="95">
        <v>1047</v>
      </c>
      <c r="P54" s="95">
        <v>221</v>
      </c>
      <c r="Q54" s="95">
        <v>106</v>
      </c>
      <c r="R54" s="95">
        <v>141</v>
      </c>
      <c r="S54" s="95">
        <v>479</v>
      </c>
      <c r="T54" s="1">
        <v>384</v>
      </c>
      <c r="U54" s="95">
        <v>561</v>
      </c>
    </row>
    <row r="55" spans="1:21" x14ac:dyDescent="0.2">
      <c r="B55" s="14"/>
      <c r="C55" s="14"/>
      <c r="D55" s="14"/>
      <c r="E55" s="14"/>
      <c r="F55" s="14"/>
      <c r="I55" s="44">
        <f t="shared" ref="I55:O55" si="9">SUM(I43:I54)</f>
        <v>16492</v>
      </c>
      <c r="J55" s="44">
        <f t="shared" si="9"/>
        <v>47733</v>
      </c>
      <c r="K55" s="44">
        <f t="shared" si="9"/>
        <v>48522</v>
      </c>
      <c r="L55" s="44">
        <f t="shared" si="9"/>
        <v>49015</v>
      </c>
      <c r="M55" s="96">
        <f t="shared" si="9"/>
        <v>49103</v>
      </c>
      <c r="N55" s="96">
        <f t="shared" si="9"/>
        <v>45983</v>
      </c>
      <c r="O55" s="96">
        <f t="shared" si="9"/>
        <v>52045</v>
      </c>
      <c r="P55" s="96">
        <f t="shared" ref="P55:Q55" si="10">SUM(P43:P54)</f>
        <v>34761</v>
      </c>
      <c r="Q55" s="96">
        <f t="shared" si="10"/>
        <v>41685</v>
      </c>
      <c r="R55" s="126">
        <f t="shared" ref="R55:S55" si="11">SUM(R43:R54)</f>
        <v>59551</v>
      </c>
      <c r="S55" s="126">
        <f t="shared" si="11"/>
        <v>64437</v>
      </c>
      <c r="T55" s="126">
        <f t="shared" ref="T55:U55" si="12">SUM(T43:T54)</f>
        <v>97611</v>
      </c>
      <c r="U55" s="126">
        <f t="shared" si="12"/>
        <v>99199</v>
      </c>
    </row>
  </sheetData>
  <pageMargins left="0.2" right="0.2" top="0" bottom="0" header="0.25" footer="0.5"/>
  <pageSetup scale="78" orientation="landscape" r:id="rId1"/>
  <headerFooter alignWithMargins="0">
    <oddHeader>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W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0" width="8.7109375" bestFit="1" customWidth="1"/>
    <col min="11" max="11" width="10.140625" bestFit="1" customWidth="1"/>
    <col min="12" max="21" width="10.7109375" bestFit="1" customWidth="1"/>
  </cols>
  <sheetData>
    <row r="2" spans="1:23" x14ac:dyDescent="0.2">
      <c r="A2" s="24" t="s">
        <v>131</v>
      </c>
      <c r="B2" s="148">
        <v>5.0000000000000001E-3</v>
      </c>
      <c r="D2" s="94" t="s">
        <v>203</v>
      </c>
    </row>
    <row r="3" spans="1:23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3" x14ac:dyDescent="0.2">
      <c r="A4" s="25"/>
      <c r="L4" s="94"/>
    </row>
    <row r="5" spans="1:23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113430</v>
      </c>
      <c r="L5" s="104">
        <v>138483</v>
      </c>
      <c r="M5" s="117">
        <v>117471</v>
      </c>
      <c r="N5" s="117">
        <v>114598</v>
      </c>
      <c r="O5" s="117">
        <v>118749</v>
      </c>
      <c r="P5" s="117">
        <v>-777</v>
      </c>
      <c r="Q5" s="117">
        <v>110676</v>
      </c>
      <c r="R5" s="1">
        <v>114212</v>
      </c>
      <c r="S5" s="1">
        <v>125425</v>
      </c>
      <c r="T5" s="1">
        <v>129997</v>
      </c>
      <c r="U5" s="1">
        <v>2319</v>
      </c>
    </row>
    <row r="6" spans="1:23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65616</v>
      </c>
      <c r="K6" s="2">
        <v>78142</v>
      </c>
      <c r="L6" s="104">
        <v>79512</v>
      </c>
      <c r="M6" s="117">
        <v>83262</v>
      </c>
      <c r="N6" s="117">
        <v>81429</v>
      </c>
      <c r="O6" s="117">
        <v>4700</v>
      </c>
      <c r="P6" s="117">
        <v>75070</v>
      </c>
      <c r="Q6" s="117">
        <v>89982</v>
      </c>
      <c r="R6" s="1">
        <v>90738</v>
      </c>
      <c r="S6" s="1">
        <v>99844</v>
      </c>
      <c r="T6" s="1">
        <v>112116</v>
      </c>
      <c r="U6" s="1">
        <v>3074</v>
      </c>
    </row>
    <row r="7" spans="1:23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69518</v>
      </c>
      <c r="K7" s="2">
        <v>72362</v>
      </c>
      <c r="L7" s="105">
        <v>78260</v>
      </c>
      <c r="M7" s="117">
        <v>76289</v>
      </c>
      <c r="N7" s="117">
        <v>85133</v>
      </c>
      <c r="O7" s="117">
        <v>1476</v>
      </c>
      <c r="P7" s="117">
        <v>76671</v>
      </c>
      <c r="Q7" s="117">
        <v>79180</v>
      </c>
      <c r="R7" s="1">
        <v>82058</v>
      </c>
      <c r="S7" s="1">
        <v>95904</v>
      </c>
      <c r="T7" s="1">
        <v>103330</v>
      </c>
      <c r="U7" s="1">
        <v>2392</v>
      </c>
    </row>
    <row r="8" spans="1:23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87297</v>
      </c>
      <c r="K8" s="2">
        <v>80850</v>
      </c>
      <c r="L8" s="104">
        <v>97617</v>
      </c>
      <c r="M8" s="117">
        <v>96376</v>
      </c>
      <c r="N8" s="117">
        <v>97774</v>
      </c>
      <c r="O8" s="117">
        <v>2095</v>
      </c>
      <c r="P8" s="117">
        <v>93045</v>
      </c>
      <c r="Q8" s="117">
        <v>98469</v>
      </c>
      <c r="R8" s="1">
        <v>95744</v>
      </c>
      <c r="S8" s="1">
        <v>128933</v>
      </c>
      <c r="T8" s="1">
        <v>125103</v>
      </c>
      <c r="U8" s="1">
        <v>3950</v>
      </c>
    </row>
    <row r="9" spans="1:23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90892</v>
      </c>
      <c r="K9" s="2">
        <v>87587</v>
      </c>
      <c r="L9" s="104">
        <v>103705</v>
      </c>
      <c r="M9" s="117">
        <v>106863</v>
      </c>
      <c r="N9" s="117">
        <v>105735</v>
      </c>
      <c r="O9" s="117">
        <v>6242</v>
      </c>
      <c r="P9" s="117">
        <v>103398</v>
      </c>
      <c r="Q9" s="117">
        <v>104693</v>
      </c>
      <c r="R9" s="1">
        <v>103498</v>
      </c>
      <c r="S9" s="1">
        <v>129796</v>
      </c>
      <c r="T9" s="1">
        <v>129529</v>
      </c>
      <c r="U9" s="1">
        <v>1648</v>
      </c>
    </row>
    <row r="10" spans="1:23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99098</v>
      </c>
      <c r="K10" s="2">
        <v>109203</v>
      </c>
      <c r="L10" s="104">
        <v>106877</v>
      </c>
      <c r="M10" s="117">
        <v>114079</v>
      </c>
      <c r="N10" s="117">
        <v>117194</v>
      </c>
      <c r="O10" s="117">
        <v>2212</v>
      </c>
      <c r="P10" s="117">
        <v>130935</v>
      </c>
      <c r="Q10" s="117">
        <v>120182</v>
      </c>
      <c r="R10" s="1">
        <v>134452</v>
      </c>
      <c r="S10" s="1">
        <v>139158</v>
      </c>
      <c r="T10" s="1">
        <v>165425</v>
      </c>
      <c r="U10" s="1">
        <v>570</v>
      </c>
    </row>
    <row r="11" spans="1:23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94145</v>
      </c>
      <c r="K11" s="2">
        <v>103897</v>
      </c>
      <c r="L11" s="104">
        <v>108645</v>
      </c>
      <c r="M11" s="117">
        <v>110425</v>
      </c>
      <c r="N11" s="117">
        <v>119903</v>
      </c>
      <c r="O11" s="117">
        <v>1710</v>
      </c>
      <c r="P11" s="117">
        <v>120027</v>
      </c>
      <c r="Q11" s="117">
        <v>122009</v>
      </c>
      <c r="R11" s="1">
        <v>124479</v>
      </c>
      <c r="S11" s="1">
        <v>143135</v>
      </c>
      <c r="T11" s="1">
        <v>175680</v>
      </c>
      <c r="U11" s="1">
        <v>258</v>
      </c>
    </row>
    <row r="12" spans="1:23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110147</v>
      </c>
      <c r="K12" s="2">
        <v>117032</v>
      </c>
      <c r="L12" s="104">
        <v>126203</v>
      </c>
      <c r="M12" s="117">
        <v>129546</v>
      </c>
      <c r="N12" s="117">
        <v>119541</v>
      </c>
      <c r="O12" s="117">
        <v>3418</v>
      </c>
      <c r="P12" s="117">
        <v>119157</v>
      </c>
      <c r="Q12" s="117">
        <v>127586</v>
      </c>
      <c r="R12" s="1">
        <v>144158</v>
      </c>
      <c r="S12" s="1">
        <v>137668</v>
      </c>
      <c r="T12" s="1">
        <v>144781</v>
      </c>
      <c r="U12" s="1">
        <v>171</v>
      </c>
    </row>
    <row r="13" spans="1:23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99534</v>
      </c>
      <c r="K13" s="2">
        <v>100386</v>
      </c>
      <c r="L13" s="104">
        <v>105193</v>
      </c>
      <c r="M13" s="117">
        <v>101548</v>
      </c>
      <c r="N13" s="117">
        <v>105058</v>
      </c>
      <c r="O13" s="117">
        <v>2141</v>
      </c>
      <c r="P13" s="117">
        <v>109285</v>
      </c>
      <c r="Q13" s="117">
        <v>114383</v>
      </c>
      <c r="R13" s="2">
        <v>121705</v>
      </c>
      <c r="S13" s="1">
        <v>126334</v>
      </c>
      <c r="T13" s="1">
        <v>131780</v>
      </c>
      <c r="U13" s="1">
        <v>87</v>
      </c>
    </row>
    <row r="14" spans="1:23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94824</v>
      </c>
      <c r="K14" s="2">
        <v>103959</v>
      </c>
      <c r="L14" s="104">
        <v>108342</v>
      </c>
      <c r="M14" s="117">
        <v>105488</v>
      </c>
      <c r="N14" s="117">
        <v>106269</v>
      </c>
      <c r="O14" s="117">
        <v>1619</v>
      </c>
      <c r="P14" s="117">
        <v>114959</v>
      </c>
      <c r="Q14" s="117">
        <v>111699</v>
      </c>
      <c r="R14" s="1">
        <v>128339</v>
      </c>
      <c r="S14" s="1">
        <v>132960</v>
      </c>
      <c r="T14" s="1">
        <v>145248</v>
      </c>
      <c r="U14" s="1">
        <v>77</v>
      </c>
    </row>
    <row r="15" spans="1:23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94183</v>
      </c>
      <c r="K15" s="2">
        <v>97633</v>
      </c>
      <c r="L15" s="104">
        <v>105709</v>
      </c>
      <c r="M15" s="117">
        <v>98642</v>
      </c>
      <c r="N15" s="117">
        <v>102589</v>
      </c>
      <c r="O15" s="117">
        <v>-81</v>
      </c>
      <c r="P15" s="117">
        <v>103778</v>
      </c>
      <c r="Q15" s="117">
        <v>112851</v>
      </c>
      <c r="R15" s="1">
        <v>119424</v>
      </c>
      <c r="S15" s="1">
        <v>130871</v>
      </c>
      <c r="T15" s="1">
        <v>1320</v>
      </c>
      <c r="U15" s="1">
        <v>128691</v>
      </c>
      <c r="W15" t="s">
        <v>529</v>
      </c>
    </row>
    <row r="16" spans="1:23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87040</v>
      </c>
      <c r="K16" s="40">
        <v>93862</v>
      </c>
      <c r="L16" s="95">
        <v>100241</v>
      </c>
      <c r="M16" s="95">
        <v>98298</v>
      </c>
      <c r="N16" s="95">
        <v>98800</v>
      </c>
      <c r="O16" s="95">
        <v>-46</v>
      </c>
      <c r="P16" s="95">
        <v>97159</v>
      </c>
      <c r="Q16" s="95">
        <v>103384</v>
      </c>
      <c r="R16" s="1">
        <v>111917</v>
      </c>
      <c r="S16" s="1">
        <v>124068</v>
      </c>
      <c r="T16" s="1">
        <v>117</v>
      </c>
      <c r="U16" s="1">
        <v>125852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992294</v>
      </c>
      <c r="K17" s="44">
        <f t="shared" si="0"/>
        <v>1158343</v>
      </c>
      <c r="L17" s="96">
        <f t="shared" si="0"/>
        <v>1258787</v>
      </c>
      <c r="M17" s="96">
        <f t="shared" ref="M17:Q17" si="1">SUM(M5:M16)</f>
        <v>1238287</v>
      </c>
      <c r="N17" s="96">
        <f t="shared" si="1"/>
        <v>1254023</v>
      </c>
      <c r="O17" s="96">
        <f t="shared" si="1"/>
        <v>144235</v>
      </c>
      <c r="P17" s="96">
        <f t="shared" si="1"/>
        <v>1142707</v>
      </c>
      <c r="Q17" s="96">
        <f t="shared" si="1"/>
        <v>1295094</v>
      </c>
      <c r="R17" s="126">
        <f t="shared" ref="R17:S17" si="2">SUM(R5:R16)</f>
        <v>1370724</v>
      </c>
      <c r="S17" s="126">
        <f t="shared" si="2"/>
        <v>1514096</v>
      </c>
      <c r="T17" s="126">
        <f t="shared" ref="T17:U17" si="3">SUM(T5:T16)</f>
        <v>1364426</v>
      </c>
      <c r="U17" s="126">
        <f t="shared" si="3"/>
        <v>269089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 t="s">
        <v>274</v>
      </c>
    </row>
    <row r="20" spans="1:21" x14ac:dyDescent="0.2">
      <c r="H20" s="2"/>
      <c r="L20" s="94"/>
    </row>
    <row r="21" spans="1:21" x14ac:dyDescent="0.2">
      <c r="A21" s="24" t="s">
        <v>130</v>
      </c>
      <c r="B21" s="148">
        <v>5.0000000000000001E-3</v>
      </c>
      <c r="D21" s="94" t="s">
        <v>203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2391</v>
      </c>
      <c r="L24" s="104">
        <v>4044</v>
      </c>
      <c r="M24" s="117">
        <v>3211</v>
      </c>
      <c r="N24" s="117">
        <v>1848</v>
      </c>
      <c r="O24" s="117">
        <v>4161</v>
      </c>
      <c r="P24" s="117">
        <v>80</v>
      </c>
      <c r="Q24" s="117">
        <v>3392</v>
      </c>
      <c r="R24" s="1">
        <v>4832</v>
      </c>
      <c r="S24" s="1">
        <v>5331</v>
      </c>
      <c r="T24" s="1">
        <v>3993</v>
      </c>
      <c r="U24" s="1">
        <v>-549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2741</v>
      </c>
      <c r="K25" s="2">
        <v>1676</v>
      </c>
      <c r="L25" s="104">
        <v>2454</v>
      </c>
      <c r="M25" s="117">
        <v>2340</v>
      </c>
      <c r="N25" s="117">
        <v>2797</v>
      </c>
      <c r="O25" s="117">
        <v>-626</v>
      </c>
      <c r="P25" s="117">
        <v>2638</v>
      </c>
      <c r="Q25" s="117">
        <v>5607</v>
      </c>
      <c r="R25" s="1">
        <v>4989</v>
      </c>
      <c r="S25" s="1">
        <v>2488</v>
      </c>
      <c r="T25" s="1">
        <v>3167</v>
      </c>
      <c r="U25" s="1">
        <v>2697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2536</v>
      </c>
      <c r="K26" s="2">
        <v>2977</v>
      </c>
      <c r="L26" s="104">
        <v>4373</v>
      </c>
      <c r="M26" s="117">
        <v>1865</v>
      </c>
      <c r="N26" s="117">
        <v>1805</v>
      </c>
      <c r="O26" s="117">
        <v>-337</v>
      </c>
      <c r="P26" s="117">
        <v>3839</v>
      </c>
      <c r="Q26" s="117">
        <v>3284</v>
      </c>
      <c r="R26" s="1">
        <v>3424</v>
      </c>
      <c r="S26" s="1">
        <v>3734</v>
      </c>
      <c r="T26" s="1">
        <v>2396</v>
      </c>
      <c r="U26" s="1">
        <v>7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2636</v>
      </c>
      <c r="K27" s="2">
        <v>2332</v>
      </c>
      <c r="L27" s="104">
        <v>3651</v>
      </c>
      <c r="M27" s="117">
        <v>2714</v>
      </c>
      <c r="N27" s="117">
        <v>3106</v>
      </c>
      <c r="O27" s="117">
        <v>97</v>
      </c>
      <c r="P27" s="117">
        <v>4588</v>
      </c>
      <c r="Q27" s="117">
        <v>3700</v>
      </c>
      <c r="R27" s="1">
        <v>10008</v>
      </c>
      <c r="S27" s="1">
        <v>4129</v>
      </c>
      <c r="T27" s="1">
        <v>3757</v>
      </c>
      <c r="U27" s="1">
        <v>-73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1305</v>
      </c>
      <c r="K28" s="2">
        <v>2605</v>
      </c>
      <c r="L28" s="104">
        <v>4180</v>
      </c>
      <c r="M28" s="117">
        <v>2159</v>
      </c>
      <c r="N28" s="117">
        <v>2338</v>
      </c>
      <c r="O28" s="117">
        <v>-12</v>
      </c>
      <c r="P28" s="117">
        <v>3942</v>
      </c>
      <c r="Q28" s="117">
        <v>3574</v>
      </c>
      <c r="R28" s="1">
        <v>3529</v>
      </c>
      <c r="S28" s="1">
        <v>4242</v>
      </c>
      <c r="T28" s="1">
        <v>3631</v>
      </c>
      <c r="U28" s="1">
        <v>71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2308</v>
      </c>
      <c r="K29" s="2">
        <v>2577</v>
      </c>
      <c r="L29" s="104">
        <v>3330</v>
      </c>
      <c r="M29" s="117">
        <v>2685</v>
      </c>
      <c r="N29" s="117">
        <v>2744</v>
      </c>
      <c r="O29" s="117">
        <v>2453</v>
      </c>
      <c r="P29" s="117">
        <v>6664</v>
      </c>
      <c r="Q29" s="117">
        <v>7179</v>
      </c>
      <c r="R29" s="1">
        <v>2472</v>
      </c>
      <c r="S29" s="1">
        <v>3181</v>
      </c>
      <c r="T29" s="1">
        <v>4297</v>
      </c>
      <c r="U29" s="1">
        <v>6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3287</v>
      </c>
      <c r="K30" s="2">
        <v>2652</v>
      </c>
      <c r="L30" s="104">
        <v>3662</v>
      </c>
      <c r="M30" s="117">
        <v>3861</v>
      </c>
      <c r="N30" s="117">
        <v>4129</v>
      </c>
      <c r="O30" s="117">
        <v>11</v>
      </c>
      <c r="P30" s="117">
        <v>7024</v>
      </c>
      <c r="Q30" s="117">
        <v>3288</v>
      </c>
      <c r="R30" s="1">
        <v>2777</v>
      </c>
      <c r="S30" s="1">
        <v>4770</v>
      </c>
      <c r="T30" s="1">
        <v>11965</v>
      </c>
      <c r="U30" s="1">
        <v>652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1959</v>
      </c>
      <c r="K31" s="2">
        <v>3044</v>
      </c>
      <c r="L31" s="104">
        <v>3080</v>
      </c>
      <c r="M31" s="117">
        <v>3624</v>
      </c>
      <c r="N31" s="117">
        <v>3610</v>
      </c>
      <c r="O31" s="117">
        <v>-664</v>
      </c>
      <c r="P31" s="117">
        <v>3492</v>
      </c>
      <c r="Q31" s="117">
        <v>6570</v>
      </c>
      <c r="R31" s="1">
        <v>7820</v>
      </c>
      <c r="S31" s="1">
        <v>3557</v>
      </c>
      <c r="T31" s="1">
        <v>5555</v>
      </c>
      <c r="U31" s="1">
        <v>171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4300</v>
      </c>
      <c r="K32" s="2">
        <v>2392</v>
      </c>
      <c r="L32" s="104">
        <v>2304</v>
      </c>
      <c r="M32" s="117">
        <v>3122</v>
      </c>
      <c r="N32" s="117">
        <v>4087</v>
      </c>
      <c r="O32" s="117">
        <v>561</v>
      </c>
      <c r="P32" s="117">
        <v>3472</v>
      </c>
      <c r="Q32" s="117">
        <v>3819</v>
      </c>
      <c r="R32" s="2">
        <v>4676</v>
      </c>
      <c r="S32" s="1">
        <v>2526</v>
      </c>
      <c r="T32" s="1">
        <v>7383</v>
      </c>
      <c r="U32" s="1">
        <v>29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2493</v>
      </c>
      <c r="K33" s="2">
        <v>2947</v>
      </c>
      <c r="L33" s="104">
        <v>12150</v>
      </c>
      <c r="M33" s="117">
        <v>3487</v>
      </c>
      <c r="N33" s="117">
        <v>3275</v>
      </c>
      <c r="O33" s="117">
        <v>141</v>
      </c>
      <c r="P33" s="117">
        <v>5092</v>
      </c>
      <c r="Q33" s="117">
        <v>3432</v>
      </c>
      <c r="R33" s="1">
        <v>3506</v>
      </c>
      <c r="S33" s="1">
        <v>3238</v>
      </c>
      <c r="T33" s="1">
        <v>8333</v>
      </c>
      <c r="U33" s="1">
        <v>0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1590</v>
      </c>
      <c r="K34" s="2">
        <v>2301</v>
      </c>
      <c r="L34" s="104">
        <v>6812</v>
      </c>
      <c r="M34" s="117">
        <v>3049</v>
      </c>
      <c r="N34" s="117">
        <v>3293</v>
      </c>
      <c r="O34" s="117">
        <v>0</v>
      </c>
      <c r="P34" s="117">
        <v>3487</v>
      </c>
      <c r="Q34" s="117">
        <v>3307</v>
      </c>
      <c r="R34" s="1">
        <v>3155</v>
      </c>
      <c r="S34" s="1">
        <v>3646</v>
      </c>
      <c r="T34" s="1">
        <v>-385</v>
      </c>
      <c r="U34" s="1">
        <v>2981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1790</v>
      </c>
      <c r="K35" s="40">
        <v>3519</v>
      </c>
      <c r="L35" s="95">
        <v>3923</v>
      </c>
      <c r="M35" s="95">
        <v>1567</v>
      </c>
      <c r="N35" s="95">
        <v>3593</v>
      </c>
      <c r="O35" s="95">
        <v>92</v>
      </c>
      <c r="P35" s="95">
        <v>4219</v>
      </c>
      <c r="Q35" s="95">
        <v>3904</v>
      </c>
      <c r="R35" s="1">
        <v>2348</v>
      </c>
      <c r="S35" s="1">
        <v>3254</v>
      </c>
      <c r="T35" s="1">
        <v>-127</v>
      </c>
      <c r="U35" s="1">
        <v>5377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26945</v>
      </c>
      <c r="K36" s="44">
        <f t="shared" si="4"/>
        <v>31413</v>
      </c>
      <c r="L36" s="96">
        <f t="shared" ref="L36:Q36" si="5">SUM(L24:L35)</f>
        <v>53963</v>
      </c>
      <c r="M36" s="96">
        <f t="shared" si="5"/>
        <v>33684</v>
      </c>
      <c r="N36" s="96">
        <f t="shared" si="5"/>
        <v>36625</v>
      </c>
      <c r="O36" s="96">
        <f t="shared" si="5"/>
        <v>5877</v>
      </c>
      <c r="P36" s="96">
        <f t="shared" si="5"/>
        <v>48537</v>
      </c>
      <c r="Q36" s="96">
        <f t="shared" si="5"/>
        <v>51056</v>
      </c>
      <c r="R36" s="126">
        <f t="shared" ref="R36:S36" si="6">SUM(R24:R35)</f>
        <v>53536</v>
      </c>
      <c r="S36" s="126">
        <f t="shared" si="6"/>
        <v>44096</v>
      </c>
      <c r="T36" s="126">
        <f t="shared" ref="T36:U36" si="7">SUM(T24:T35)</f>
        <v>53965</v>
      </c>
      <c r="U36" s="126">
        <f t="shared" si="7"/>
        <v>11369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H38" s="2"/>
    </row>
    <row r="39" spans="1:21" x14ac:dyDescent="0.2">
      <c r="A39" s="29" t="s">
        <v>266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2">
        <v>0</v>
      </c>
      <c r="K42" s="2">
        <v>0</v>
      </c>
      <c r="L42" s="2">
        <v>-155</v>
      </c>
      <c r="M42" s="2">
        <v>-184</v>
      </c>
      <c r="N42" s="2">
        <v>-2</v>
      </c>
      <c r="O42" s="117">
        <v>0</v>
      </c>
      <c r="P42" s="117">
        <v>-146</v>
      </c>
      <c r="Q42" s="117">
        <v>0</v>
      </c>
      <c r="R42" s="1">
        <v>-4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2">
        <v>0</v>
      </c>
      <c r="K43" s="2">
        <v>0</v>
      </c>
      <c r="L43" s="2">
        <v>0</v>
      </c>
      <c r="M43" s="2">
        <v>-13163</v>
      </c>
      <c r="N43" s="2">
        <v>-4</v>
      </c>
      <c r="O43" s="117">
        <v>0</v>
      </c>
      <c r="P43" s="117">
        <v>0</v>
      </c>
      <c r="Q43" s="117">
        <v>0</v>
      </c>
      <c r="R43" s="1">
        <v>-39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2">
        <v>0</v>
      </c>
      <c r="K44" s="2">
        <v>0</v>
      </c>
      <c r="L44" s="2">
        <v>-1553</v>
      </c>
      <c r="M44" s="2">
        <v>-232</v>
      </c>
      <c r="N44" s="2">
        <v>-59</v>
      </c>
      <c r="O44" s="117">
        <v>-7501</v>
      </c>
      <c r="P44" s="117">
        <v>-12</v>
      </c>
      <c r="Q44" s="117">
        <v>0</v>
      </c>
      <c r="R44" s="1">
        <v>-2278</v>
      </c>
      <c r="S44" s="117">
        <v>-30</v>
      </c>
      <c r="T44" s="1">
        <v>0</v>
      </c>
      <c r="U44" s="117">
        <v>-21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2">
        <v>0</v>
      </c>
      <c r="K45" s="2">
        <v>-4768</v>
      </c>
      <c r="L45" s="2">
        <v>0</v>
      </c>
      <c r="M45" s="2">
        <v>-1479</v>
      </c>
      <c r="N45" s="2">
        <v>-206</v>
      </c>
      <c r="O45" s="117">
        <v>-164</v>
      </c>
      <c r="P45" s="117">
        <v>0</v>
      </c>
      <c r="Q45" s="117">
        <v>-20</v>
      </c>
      <c r="R45" s="117">
        <v>0</v>
      </c>
      <c r="S45" s="117">
        <v>0</v>
      </c>
      <c r="T45" s="1">
        <v>-14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2">
        <v>0</v>
      </c>
      <c r="K46" s="2">
        <v>0</v>
      </c>
      <c r="L46" s="2">
        <v>0</v>
      </c>
      <c r="M46" s="2">
        <v>-46</v>
      </c>
      <c r="N46" s="2">
        <v>-4276</v>
      </c>
      <c r="O46" s="117">
        <v>-1</v>
      </c>
      <c r="P46" s="117">
        <v>0</v>
      </c>
      <c r="Q46" s="117">
        <v>0</v>
      </c>
      <c r="R46" s="1">
        <v>-66</v>
      </c>
      <c r="S46" s="117">
        <v>0</v>
      </c>
      <c r="T46" s="1">
        <v>-28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2">
        <v>0</v>
      </c>
      <c r="K47" s="2">
        <v>0</v>
      </c>
      <c r="L47" s="2">
        <v>0</v>
      </c>
      <c r="M47" s="2">
        <v>-4737</v>
      </c>
      <c r="N47" s="2">
        <v>-22</v>
      </c>
      <c r="O47" s="117">
        <v>0</v>
      </c>
      <c r="P47" s="117">
        <v>0</v>
      </c>
      <c r="Q47" s="117">
        <v>0</v>
      </c>
      <c r="R47" s="1">
        <v>-2278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2">
        <v>0</v>
      </c>
      <c r="K48" s="2">
        <v>-67</v>
      </c>
      <c r="L48" s="2">
        <v>-137</v>
      </c>
      <c r="M48" s="2">
        <v>-10953</v>
      </c>
      <c r="N48" s="2">
        <v>0</v>
      </c>
      <c r="O48" s="117">
        <v>0</v>
      </c>
      <c r="P48" s="117">
        <v>0</v>
      </c>
      <c r="Q48" s="117">
        <v>0</v>
      </c>
      <c r="R48" s="1">
        <v>-180</v>
      </c>
      <c r="S48" s="117">
        <v>0</v>
      </c>
      <c r="T48" s="1">
        <v>-222</v>
      </c>
      <c r="U48" s="117">
        <v>-5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2">
        <v>0</v>
      </c>
      <c r="K49" s="2">
        <v>-4314</v>
      </c>
      <c r="L49" s="2">
        <v>-85</v>
      </c>
      <c r="M49" s="2">
        <v>-162</v>
      </c>
      <c r="N49" s="2">
        <v>0</v>
      </c>
      <c r="O49" s="117">
        <v>0</v>
      </c>
      <c r="P49" s="117">
        <v>0</v>
      </c>
      <c r="Q49" s="117">
        <v>0</v>
      </c>
      <c r="R49" s="117">
        <v>-17</v>
      </c>
      <c r="S49" s="117">
        <v>0</v>
      </c>
      <c r="T49" s="1">
        <v>0</v>
      </c>
      <c r="U49" s="117">
        <v>-299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2">
        <v>0</v>
      </c>
      <c r="K50" s="2">
        <v>0</v>
      </c>
      <c r="L50" s="2">
        <v>0</v>
      </c>
      <c r="M50" s="2">
        <v>-305</v>
      </c>
      <c r="N50" s="2">
        <v>-5496</v>
      </c>
      <c r="O50" s="117">
        <v>0</v>
      </c>
      <c r="P50" s="117">
        <v>0</v>
      </c>
      <c r="Q50" s="117">
        <v>0</v>
      </c>
      <c r="R50" s="117">
        <v>-35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2">
        <v>0</v>
      </c>
      <c r="K51" s="2">
        <v>-112</v>
      </c>
      <c r="L51" s="2">
        <v>-41611</v>
      </c>
      <c r="M51" s="2">
        <v>-3432</v>
      </c>
      <c r="N51" s="2">
        <v>0</v>
      </c>
      <c r="O51" s="117">
        <v>-1364</v>
      </c>
      <c r="P51" s="117">
        <v>-28</v>
      </c>
      <c r="Q51" s="117">
        <v>0</v>
      </c>
      <c r="R51" s="117">
        <v>0</v>
      </c>
      <c r="S51" s="117">
        <v>0</v>
      </c>
      <c r="T51" s="1">
        <v>0</v>
      </c>
      <c r="U51" s="117">
        <v>-4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2">
        <v>0</v>
      </c>
      <c r="K52" s="2">
        <v>0</v>
      </c>
      <c r="L52" s="2">
        <v>0</v>
      </c>
      <c r="M52" s="2">
        <v>-201</v>
      </c>
      <c r="N52" s="2">
        <v>0</v>
      </c>
      <c r="O52" s="117">
        <v>-208</v>
      </c>
      <c r="P52" s="117">
        <v>0</v>
      </c>
      <c r="Q52" s="117">
        <v>-39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40">
        <v>-1</v>
      </c>
      <c r="K53" s="40">
        <v>-1732</v>
      </c>
      <c r="L53" s="40">
        <v>-136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26">
        <f t="shared" ref="J54:N54" si="8">SUM(J42:J53)</f>
        <v>-1</v>
      </c>
      <c r="K54" s="126">
        <f t="shared" si="8"/>
        <v>-10993</v>
      </c>
      <c r="L54" s="126">
        <f t="shared" si="8"/>
        <v>-43677</v>
      </c>
      <c r="M54" s="126">
        <f t="shared" si="8"/>
        <v>-34894</v>
      </c>
      <c r="N54" s="126">
        <f t="shared" si="8"/>
        <v>-10065</v>
      </c>
      <c r="O54" s="96">
        <f>SUM(O42:O53)</f>
        <v>-9238</v>
      </c>
      <c r="P54" s="96">
        <f>SUM(P42:P53)</f>
        <v>-186</v>
      </c>
      <c r="Q54" s="96">
        <f>SUM(Q42:Q53)</f>
        <v>-59</v>
      </c>
      <c r="R54" s="126">
        <f t="shared" ref="R54" si="9">SUM(R42:R53)</f>
        <v>-4897</v>
      </c>
      <c r="S54" s="126">
        <f>SUM(S42:S53)</f>
        <v>-30</v>
      </c>
      <c r="T54" s="126">
        <f t="shared" ref="T54" si="10">SUM(T42:T53)</f>
        <v>-264</v>
      </c>
      <c r="U54" s="126">
        <f>SUM(U42:U53)</f>
        <v>-329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268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4.5703125" bestFit="1" customWidth="1"/>
    <col min="2" max="12" width="10.7109375" bestFit="1" customWidth="1"/>
    <col min="13" max="21" width="11.7109375" bestFit="1" customWidth="1"/>
  </cols>
  <sheetData>
    <row r="2" spans="1:21" x14ac:dyDescent="0.2">
      <c r="A2" s="24" t="s">
        <v>20</v>
      </c>
      <c r="B2" s="146">
        <v>7.4999999999999997E-3</v>
      </c>
      <c r="C2" t="s">
        <v>182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775903.69</v>
      </c>
      <c r="C5" s="1">
        <v>823283.89</v>
      </c>
      <c r="D5" s="2">
        <v>813109.86</v>
      </c>
      <c r="E5" s="2">
        <f>835645.07-31</f>
        <v>835614.07</v>
      </c>
      <c r="F5" s="2">
        <v>853929.23</v>
      </c>
      <c r="G5" s="2">
        <v>937589</v>
      </c>
      <c r="H5" s="2">
        <v>822467</v>
      </c>
      <c r="I5" s="2">
        <v>819149</v>
      </c>
      <c r="J5" s="2">
        <v>879824</v>
      </c>
      <c r="K5" s="2">
        <v>924880</v>
      </c>
      <c r="L5" s="102">
        <v>926954</v>
      </c>
      <c r="M5" s="102">
        <v>974084</v>
      </c>
      <c r="N5" s="102">
        <v>1042149</v>
      </c>
      <c r="O5" s="102">
        <v>1581797</v>
      </c>
      <c r="P5" s="102">
        <v>1549456</v>
      </c>
      <c r="Q5" s="102">
        <v>1618752</v>
      </c>
      <c r="R5" s="1">
        <v>1725552</v>
      </c>
      <c r="S5" s="1">
        <v>1666457</v>
      </c>
      <c r="T5" s="1">
        <v>1786133</v>
      </c>
      <c r="U5" s="1">
        <v>1950764</v>
      </c>
    </row>
    <row r="6" spans="1:21" x14ac:dyDescent="0.2">
      <c r="A6" s="26" t="s">
        <v>1</v>
      </c>
      <c r="B6" s="1">
        <v>579006.47</v>
      </c>
      <c r="C6" s="1">
        <v>553115.36</v>
      </c>
      <c r="D6" s="2">
        <v>588331.94999999995</v>
      </c>
      <c r="E6" s="2">
        <v>630078.56000000006</v>
      </c>
      <c r="F6" s="2">
        <v>689567.11</v>
      </c>
      <c r="G6" s="2">
        <v>720599</v>
      </c>
      <c r="H6" s="2">
        <v>577256</v>
      </c>
      <c r="I6" s="2">
        <v>659209</v>
      </c>
      <c r="J6" s="2">
        <v>632150</v>
      </c>
      <c r="K6" s="2">
        <v>679850</v>
      </c>
      <c r="L6" s="102">
        <v>701807</v>
      </c>
      <c r="M6" s="102">
        <v>741965</v>
      </c>
      <c r="N6" s="102">
        <v>1172763</v>
      </c>
      <c r="O6" s="102">
        <v>1162979</v>
      </c>
      <c r="P6" s="102">
        <v>1213218</v>
      </c>
      <c r="Q6" s="102">
        <v>1267989</v>
      </c>
      <c r="R6" s="1">
        <v>1442892</v>
      </c>
      <c r="S6" s="1">
        <v>1322106</v>
      </c>
      <c r="T6" s="1">
        <v>1533043</v>
      </c>
      <c r="U6" s="1">
        <v>1549431</v>
      </c>
    </row>
    <row r="7" spans="1:21" x14ac:dyDescent="0.2">
      <c r="A7" s="26" t="s">
        <v>2</v>
      </c>
      <c r="B7" s="1">
        <v>513972.55</v>
      </c>
      <c r="C7" s="1">
        <v>528953.35</v>
      </c>
      <c r="D7" s="2">
        <v>548558.63</v>
      </c>
      <c r="E7" s="2">
        <f>598638.78+30</f>
        <v>598668.78</v>
      </c>
      <c r="F7" s="2">
        <v>609264.30000000005</v>
      </c>
      <c r="G7" s="2">
        <v>660370</v>
      </c>
      <c r="H7" s="2">
        <v>571831</v>
      </c>
      <c r="I7" s="2">
        <v>611353</v>
      </c>
      <c r="J7" s="2">
        <v>675085</v>
      </c>
      <c r="K7" s="2">
        <v>637679</v>
      </c>
      <c r="L7" s="106">
        <v>650241</v>
      </c>
      <c r="M7" s="106">
        <v>724423</v>
      </c>
      <c r="N7" s="106">
        <v>1122661</v>
      </c>
      <c r="O7" s="106">
        <v>1078011</v>
      </c>
      <c r="P7" s="106">
        <v>1149973</v>
      </c>
      <c r="Q7" s="106">
        <v>1158721</v>
      </c>
      <c r="R7" s="1">
        <v>1251818</v>
      </c>
      <c r="S7" s="1">
        <v>1287844</v>
      </c>
      <c r="T7" s="1">
        <v>1450883</v>
      </c>
      <c r="U7" s="1">
        <v>1532523</v>
      </c>
    </row>
    <row r="8" spans="1:21" x14ac:dyDescent="0.2">
      <c r="A8" s="26" t="s">
        <v>3</v>
      </c>
      <c r="B8" s="1">
        <v>644991.84</v>
      </c>
      <c r="C8" s="1">
        <v>619722.28</v>
      </c>
      <c r="D8" s="2">
        <v>652202.9</v>
      </c>
      <c r="E8" s="2">
        <f>729670.34+43</f>
        <v>729713.34</v>
      </c>
      <c r="F8" s="2">
        <v>716350.91</v>
      </c>
      <c r="G8" s="2">
        <v>681669</v>
      </c>
      <c r="H8" s="2">
        <v>710281</v>
      </c>
      <c r="I8" s="2">
        <v>687703</v>
      </c>
      <c r="J8" s="2">
        <v>761975</v>
      </c>
      <c r="K8" s="2">
        <v>747238</v>
      </c>
      <c r="L8" s="106">
        <v>790744</v>
      </c>
      <c r="M8" s="106">
        <v>836037</v>
      </c>
      <c r="N8" s="106">
        <v>1343578</v>
      </c>
      <c r="O8" s="106">
        <v>1329348</v>
      </c>
      <c r="P8" s="106">
        <v>1366183</v>
      </c>
      <c r="Q8" s="106">
        <v>1437190</v>
      </c>
      <c r="R8" s="1">
        <v>1319865</v>
      </c>
      <c r="S8" s="1">
        <v>1630004</v>
      </c>
      <c r="T8" s="1">
        <v>1893905</v>
      </c>
      <c r="U8" s="1">
        <v>1956177</v>
      </c>
    </row>
    <row r="9" spans="1:21" x14ac:dyDescent="0.2">
      <c r="A9" s="26" t="s">
        <v>4</v>
      </c>
      <c r="B9" s="1">
        <v>621929.53</v>
      </c>
      <c r="C9" s="1">
        <v>650964.32999999996</v>
      </c>
      <c r="D9" s="2">
        <v>628528.23</v>
      </c>
      <c r="E9" s="2">
        <v>675065.65</v>
      </c>
      <c r="F9" s="2">
        <v>682824.69</v>
      </c>
      <c r="G9" s="2">
        <v>666392</v>
      </c>
      <c r="H9" s="2">
        <v>669320</v>
      </c>
      <c r="I9" s="2">
        <v>731865</v>
      </c>
      <c r="J9" s="2">
        <v>719978</v>
      </c>
      <c r="K9" s="2">
        <v>778592</v>
      </c>
      <c r="L9" s="106">
        <v>756508</v>
      </c>
      <c r="M9" s="106">
        <v>845171</v>
      </c>
      <c r="N9" s="106">
        <v>1277355</v>
      </c>
      <c r="O9" s="106">
        <v>1265679</v>
      </c>
      <c r="P9" s="106">
        <v>1308265</v>
      </c>
      <c r="Q9" s="106">
        <v>1447269</v>
      </c>
      <c r="R9" s="1">
        <v>1125718</v>
      </c>
      <c r="S9" s="1">
        <v>1559955</v>
      </c>
      <c r="T9" s="1">
        <v>1603420</v>
      </c>
      <c r="U9" s="1">
        <v>1751010</v>
      </c>
    </row>
    <row r="10" spans="1:21" x14ac:dyDescent="0.2">
      <c r="A10" s="26" t="s">
        <v>5</v>
      </c>
      <c r="B10" s="1">
        <v>640598.61</v>
      </c>
      <c r="C10" s="1">
        <v>691621.5</v>
      </c>
      <c r="D10" s="2">
        <v>690037.68</v>
      </c>
      <c r="E10" s="2">
        <v>752727.93</v>
      </c>
      <c r="F10" s="2">
        <v>745058.43</v>
      </c>
      <c r="G10" s="2">
        <v>694113</v>
      </c>
      <c r="H10" s="2">
        <v>720427</v>
      </c>
      <c r="I10" s="2">
        <v>723202</v>
      </c>
      <c r="J10" s="2">
        <v>745680</v>
      </c>
      <c r="K10" s="2">
        <v>823596</v>
      </c>
      <c r="L10" s="106">
        <v>822041</v>
      </c>
      <c r="M10" s="106">
        <v>884052</v>
      </c>
      <c r="N10" s="106">
        <v>1338896</v>
      </c>
      <c r="O10" s="106">
        <v>1387327</v>
      </c>
      <c r="P10" s="106">
        <v>1499538</v>
      </c>
      <c r="Q10" s="106">
        <v>1656036</v>
      </c>
      <c r="R10" s="1">
        <v>1336026</v>
      </c>
      <c r="S10" s="1">
        <v>1635359</v>
      </c>
      <c r="T10" s="1">
        <v>2074931</v>
      </c>
      <c r="U10" s="1">
        <v>1923693</v>
      </c>
    </row>
    <row r="11" spans="1:21" x14ac:dyDescent="0.2">
      <c r="A11" s="26" t="s">
        <v>6</v>
      </c>
      <c r="B11" s="1">
        <v>498817.05</v>
      </c>
      <c r="C11" s="1">
        <v>500691.7</v>
      </c>
      <c r="D11" s="2">
        <v>563990.16</v>
      </c>
      <c r="E11" s="2">
        <f>655329.62+3</f>
        <v>655332.62</v>
      </c>
      <c r="F11" s="2">
        <v>646845.89</v>
      </c>
      <c r="G11" s="2">
        <v>596080</v>
      </c>
      <c r="H11" s="2">
        <v>644714</v>
      </c>
      <c r="I11" s="2">
        <v>680367</v>
      </c>
      <c r="J11" s="2">
        <v>739725</v>
      </c>
      <c r="K11" s="2">
        <v>690189</v>
      </c>
      <c r="L11" s="106">
        <v>770883</v>
      </c>
      <c r="M11" s="106">
        <v>831233</v>
      </c>
      <c r="N11" s="106">
        <v>1186258</v>
      </c>
      <c r="O11" s="106">
        <v>1264962</v>
      </c>
      <c r="P11" s="106">
        <v>1271855</v>
      </c>
      <c r="Q11" s="106">
        <v>1436042</v>
      </c>
      <c r="R11" s="1">
        <v>1351442</v>
      </c>
      <c r="S11" s="1">
        <v>1691994</v>
      </c>
      <c r="T11" s="1">
        <v>1794828</v>
      </c>
      <c r="U11" s="1">
        <v>2028678</v>
      </c>
    </row>
    <row r="12" spans="1:21" x14ac:dyDescent="0.2">
      <c r="A12" s="26" t="s">
        <v>7</v>
      </c>
      <c r="B12" s="1">
        <v>840699.82</v>
      </c>
      <c r="C12" s="1">
        <v>861969.85</v>
      </c>
      <c r="D12" s="2">
        <v>874349.2</v>
      </c>
      <c r="E12" s="2">
        <v>880234.27</v>
      </c>
      <c r="F12" s="2">
        <v>888551.7</v>
      </c>
      <c r="G12" s="2">
        <v>902180</v>
      </c>
      <c r="H12" s="2">
        <v>841730</v>
      </c>
      <c r="I12" s="2">
        <v>791490</v>
      </c>
      <c r="J12" s="2">
        <v>923472</v>
      </c>
      <c r="K12" s="2">
        <v>953242</v>
      </c>
      <c r="L12" s="106">
        <v>978568</v>
      </c>
      <c r="M12" s="106">
        <v>1064524</v>
      </c>
      <c r="N12" s="106">
        <v>1603521</v>
      </c>
      <c r="O12" s="106">
        <v>1641344</v>
      </c>
      <c r="P12" s="106">
        <v>1766162</v>
      </c>
      <c r="Q12" s="106">
        <v>1630893</v>
      </c>
      <c r="R12" s="1">
        <v>1701074</v>
      </c>
      <c r="S12" s="1">
        <v>1869371</v>
      </c>
      <c r="T12" s="1">
        <v>1814971</v>
      </c>
      <c r="U12" s="1">
        <v>1815688</v>
      </c>
    </row>
    <row r="13" spans="1:21" x14ac:dyDescent="0.2">
      <c r="A13" s="26" t="s">
        <v>8</v>
      </c>
      <c r="B13" s="1">
        <v>662747.15</v>
      </c>
      <c r="C13" s="1">
        <v>664042.14</v>
      </c>
      <c r="D13" s="2">
        <v>742426.07</v>
      </c>
      <c r="E13" s="2">
        <v>742938.1</v>
      </c>
      <c r="F13" s="2">
        <v>750839.08</v>
      </c>
      <c r="G13" s="2">
        <v>677821</v>
      </c>
      <c r="H13" s="2">
        <v>713295</v>
      </c>
      <c r="I13" s="2">
        <v>747478</v>
      </c>
      <c r="J13" s="2">
        <v>799936</v>
      </c>
      <c r="K13" s="2">
        <v>832127</v>
      </c>
      <c r="L13" s="106">
        <v>876175</v>
      </c>
      <c r="M13" s="106">
        <v>903964</v>
      </c>
      <c r="N13" s="106">
        <v>1385387</v>
      </c>
      <c r="O13" s="106">
        <v>1451085</v>
      </c>
      <c r="P13" s="106">
        <v>1567296</v>
      </c>
      <c r="Q13" s="106">
        <v>1476420</v>
      </c>
      <c r="R13" s="2">
        <v>1483141</v>
      </c>
      <c r="S13" s="1">
        <v>1619412</v>
      </c>
      <c r="T13" s="1">
        <v>1853342</v>
      </c>
      <c r="U13" s="1">
        <v>1920490</v>
      </c>
    </row>
    <row r="14" spans="1:21" x14ac:dyDescent="0.2">
      <c r="A14" s="26" t="s">
        <v>9</v>
      </c>
      <c r="B14" s="1">
        <v>719592.31</v>
      </c>
      <c r="C14" s="1">
        <v>675715.72</v>
      </c>
      <c r="D14" s="2">
        <v>727055.91</v>
      </c>
      <c r="E14" s="2">
        <f>737439.71-86</f>
        <v>737353.71</v>
      </c>
      <c r="F14" s="2">
        <f>758447.37-134+2479.36</f>
        <v>760792.73</v>
      </c>
      <c r="G14" s="2">
        <v>925967</v>
      </c>
      <c r="H14" s="2">
        <v>729585</v>
      </c>
      <c r="I14" s="2">
        <v>745903</v>
      </c>
      <c r="J14" s="2">
        <v>822308</v>
      </c>
      <c r="K14" s="2">
        <v>841565</v>
      </c>
      <c r="L14" s="106">
        <v>896258</v>
      </c>
      <c r="M14" s="106">
        <v>932746</v>
      </c>
      <c r="N14" s="106">
        <v>1388532</v>
      </c>
      <c r="O14" s="106">
        <v>1471469</v>
      </c>
      <c r="P14" s="106">
        <v>1466180</v>
      </c>
      <c r="Q14" s="106">
        <v>1522285</v>
      </c>
      <c r="R14" s="1">
        <v>1501031</v>
      </c>
      <c r="S14" s="1">
        <v>1696080</v>
      </c>
      <c r="T14" s="1">
        <v>1816121</v>
      </c>
      <c r="U14" s="1">
        <v>1873441</v>
      </c>
    </row>
    <row r="15" spans="1:21" x14ac:dyDescent="0.2">
      <c r="A15" s="26" t="s">
        <v>10</v>
      </c>
      <c r="B15" s="1">
        <v>639096.91</v>
      </c>
      <c r="C15" s="1">
        <v>634752.52</v>
      </c>
      <c r="D15" s="2">
        <v>690235.79</v>
      </c>
      <c r="E15" s="2">
        <f>720803.29+68</f>
        <v>720871.29</v>
      </c>
      <c r="F15" s="2"/>
      <c r="G15" s="2">
        <v>672755</v>
      </c>
      <c r="H15" s="2">
        <v>701680</v>
      </c>
      <c r="I15" s="2">
        <v>716645</v>
      </c>
      <c r="J15" s="2">
        <v>763221</v>
      </c>
      <c r="K15" s="2">
        <v>791495</v>
      </c>
      <c r="L15" s="106">
        <v>873077</v>
      </c>
      <c r="M15" s="106">
        <v>905165</v>
      </c>
      <c r="N15" s="106">
        <v>1378170</v>
      </c>
      <c r="O15" s="106">
        <v>1348650</v>
      </c>
      <c r="P15" s="106">
        <v>1499171</v>
      </c>
      <c r="Q15" s="106">
        <v>1536743</v>
      </c>
      <c r="R15" s="1">
        <v>1397710</v>
      </c>
      <c r="S15" s="1">
        <v>1598164</v>
      </c>
      <c r="T15" s="1">
        <v>1747558</v>
      </c>
      <c r="U15" s="1">
        <v>1951787</v>
      </c>
    </row>
    <row r="16" spans="1:21" x14ac:dyDescent="0.2">
      <c r="A16" s="26" t="s">
        <v>11</v>
      </c>
      <c r="B16" s="39">
        <v>623896.01</v>
      </c>
      <c r="C16" s="39">
        <v>606721.84</v>
      </c>
      <c r="D16" s="39">
        <v>793137.95</v>
      </c>
      <c r="E16" s="39">
        <f>741748.58+4</f>
        <v>741752.58</v>
      </c>
      <c r="F16" s="39">
        <v>1260386</v>
      </c>
      <c r="G16" s="40">
        <v>678585</v>
      </c>
      <c r="H16" s="40">
        <v>724323</v>
      </c>
      <c r="I16" s="40">
        <v>763283</v>
      </c>
      <c r="J16" s="40">
        <v>755260</v>
      </c>
      <c r="K16" s="40">
        <v>775392</v>
      </c>
      <c r="L16" s="40">
        <v>898765</v>
      </c>
      <c r="M16" s="40">
        <v>862923</v>
      </c>
      <c r="N16" s="40">
        <v>1327435</v>
      </c>
      <c r="O16" s="40">
        <v>1360424</v>
      </c>
      <c r="P16" s="40">
        <v>1508748</v>
      </c>
      <c r="Q16" s="40">
        <v>1490051</v>
      </c>
      <c r="R16" s="1">
        <v>1494345</v>
      </c>
      <c r="S16" s="1">
        <v>1608270</v>
      </c>
      <c r="T16" s="1">
        <v>2041846</v>
      </c>
      <c r="U16" s="1">
        <v>1822882</v>
      </c>
    </row>
    <row r="17" spans="1:21" x14ac:dyDescent="0.2">
      <c r="A17" s="25"/>
      <c r="B17" s="46">
        <f t="shared" ref="B17:H17" si="0">SUM(B5:B16)</f>
        <v>7761251.9400000013</v>
      </c>
      <c r="C17" s="46">
        <f t="shared" si="0"/>
        <v>7811554.4799999986</v>
      </c>
      <c r="D17" s="41">
        <f t="shared" si="0"/>
        <v>8311964.330000001</v>
      </c>
      <c r="E17" s="41">
        <f t="shared" si="0"/>
        <v>8700350.9000000004</v>
      </c>
      <c r="F17" s="41">
        <f t="shared" si="0"/>
        <v>8604410.0700000003</v>
      </c>
      <c r="G17" s="41">
        <f t="shared" si="0"/>
        <v>8814120</v>
      </c>
      <c r="H17" s="41">
        <f t="shared" si="0"/>
        <v>8426909</v>
      </c>
      <c r="I17" s="44">
        <f t="shared" ref="I17:N17" si="1">SUM(I5:I16)</f>
        <v>8677647</v>
      </c>
      <c r="J17" s="44">
        <f t="shared" si="1"/>
        <v>9218614</v>
      </c>
      <c r="K17" s="44">
        <f t="shared" si="1"/>
        <v>9475845</v>
      </c>
      <c r="L17" s="96">
        <f t="shared" si="1"/>
        <v>9942021</v>
      </c>
      <c r="M17" s="96">
        <f t="shared" si="1"/>
        <v>10506287</v>
      </c>
      <c r="N17" s="96">
        <f t="shared" si="1"/>
        <v>15566705</v>
      </c>
      <c r="O17" s="96">
        <f t="shared" ref="O17:P17" si="2">SUM(O5:O16)</f>
        <v>16343075</v>
      </c>
      <c r="P17" s="96">
        <f t="shared" si="2"/>
        <v>17166045</v>
      </c>
      <c r="Q17" s="96">
        <f t="shared" ref="Q17" si="3">SUM(Q5:Q16)</f>
        <v>17678391</v>
      </c>
      <c r="R17" s="126">
        <f t="shared" ref="R17" si="4">SUM(R5:R16)</f>
        <v>17130614</v>
      </c>
      <c r="S17" s="126">
        <f t="shared" ref="S17:T17" si="5">SUM(S5:S16)</f>
        <v>19185016</v>
      </c>
      <c r="T17" s="126">
        <f t="shared" si="5"/>
        <v>21410981</v>
      </c>
      <c r="U17" s="126">
        <f t="shared" ref="U17" si="6">SUM(U5:U16)</f>
        <v>22076564</v>
      </c>
    </row>
    <row r="18" spans="1:21" x14ac:dyDescent="0.2">
      <c r="A18" s="25"/>
      <c r="B18" s="2"/>
      <c r="G18" s="2"/>
      <c r="L18" s="94"/>
    </row>
    <row r="19" spans="1:21" x14ac:dyDescent="0.2">
      <c r="A19" s="25"/>
      <c r="F19" s="35" t="s">
        <v>110</v>
      </c>
      <c r="G19" s="2"/>
      <c r="L19" s="94"/>
    </row>
    <row r="20" spans="1:21" x14ac:dyDescent="0.2">
      <c r="F20" s="35" t="s">
        <v>111</v>
      </c>
      <c r="G20" s="2"/>
      <c r="L20" s="94"/>
    </row>
    <row r="21" spans="1:21" x14ac:dyDescent="0.2">
      <c r="A21" s="24" t="s">
        <v>21</v>
      </c>
      <c r="B21" s="146">
        <v>7.4999999999999997E-3</v>
      </c>
      <c r="C21" t="s">
        <v>182</v>
      </c>
      <c r="G21" s="2"/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G23" s="2"/>
    </row>
    <row r="24" spans="1:21" x14ac:dyDescent="0.2">
      <c r="A24" s="26" t="s">
        <v>0</v>
      </c>
      <c r="B24" s="1">
        <v>77789.89</v>
      </c>
      <c r="C24" s="1">
        <v>76638.95</v>
      </c>
      <c r="D24" s="2">
        <v>62474.75</v>
      </c>
      <c r="E24" s="2">
        <v>74754.09</v>
      </c>
      <c r="F24" s="2">
        <v>117213.44</v>
      </c>
      <c r="G24" s="2">
        <v>82904</v>
      </c>
      <c r="H24" s="2">
        <v>68413</v>
      </c>
      <c r="I24" s="2">
        <v>91222</v>
      </c>
      <c r="J24" s="2">
        <v>182866</v>
      </c>
      <c r="K24" s="2">
        <v>106439</v>
      </c>
      <c r="L24" s="102">
        <v>113957</v>
      </c>
      <c r="M24" s="102">
        <v>109527</v>
      </c>
      <c r="N24" s="102">
        <v>155886</v>
      </c>
      <c r="O24" s="102">
        <v>192432</v>
      </c>
      <c r="P24" s="102">
        <v>151818</v>
      </c>
      <c r="Q24" s="102">
        <v>156944</v>
      </c>
      <c r="R24" s="1">
        <v>143327</v>
      </c>
      <c r="S24" s="1">
        <v>249183</v>
      </c>
      <c r="T24" s="1">
        <v>151413</v>
      </c>
      <c r="U24" s="1">
        <v>204933</v>
      </c>
    </row>
    <row r="25" spans="1:21" x14ac:dyDescent="0.2">
      <c r="A25" s="26" t="s">
        <v>1</v>
      </c>
      <c r="B25" s="1">
        <v>70984.53</v>
      </c>
      <c r="C25" s="1">
        <v>41518.410000000003</v>
      </c>
      <c r="D25" s="2">
        <v>86963.07</v>
      </c>
      <c r="E25" s="2">
        <f>117318.3+38</f>
        <v>117356.3</v>
      </c>
      <c r="F25" s="2">
        <v>81857.81</v>
      </c>
      <c r="G25" s="2">
        <v>63279</v>
      </c>
      <c r="H25" s="2">
        <v>73466</v>
      </c>
      <c r="I25" s="2">
        <v>40561</v>
      </c>
      <c r="J25" s="2">
        <v>62067</v>
      </c>
      <c r="K25" s="2">
        <v>-56707</v>
      </c>
      <c r="L25" s="102">
        <v>95231</v>
      </c>
      <c r="M25" s="102">
        <v>82630</v>
      </c>
      <c r="N25" s="102">
        <v>100035</v>
      </c>
      <c r="O25" s="102">
        <v>107721</v>
      </c>
      <c r="P25" s="102">
        <v>149603</v>
      </c>
      <c r="Q25" s="102">
        <v>158016</v>
      </c>
      <c r="R25" s="1">
        <v>185406</v>
      </c>
      <c r="S25" s="1">
        <v>201520</v>
      </c>
      <c r="T25" s="1">
        <v>180492</v>
      </c>
      <c r="U25" s="1">
        <v>132642</v>
      </c>
    </row>
    <row r="26" spans="1:21" x14ac:dyDescent="0.2">
      <c r="A26" s="26" t="s">
        <v>2</v>
      </c>
      <c r="B26" s="1">
        <v>59269.83</v>
      </c>
      <c r="C26" s="1">
        <v>56917.07</v>
      </c>
      <c r="D26" s="2">
        <v>52282.99</v>
      </c>
      <c r="E26" s="2">
        <v>59169.02</v>
      </c>
      <c r="F26" s="2">
        <v>59807.15</v>
      </c>
      <c r="G26" s="2">
        <v>49240</v>
      </c>
      <c r="H26" s="2">
        <v>70839</v>
      </c>
      <c r="I26" s="2">
        <v>68846</v>
      </c>
      <c r="J26" s="2">
        <v>55521</v>
      </c>
      <c r="K26" s="2">
        <v>82020</v>
      </c>
      <c r="L26" s="102">
        <v>64272</v>
      </c>
      <c r="M26" s="106">
        <v>80854</v>
      </c>
      <c r="N26" s="106">
        <v>107221</v>
      </c>
      <c r="O26" s="106">
        <v>91277</v>
      </c>
      <c r="P26" s="106">
        <v>83589</v>
      </c>
      <c r="Q26" s="106">
        <v>102711</v>
      </c>
      <c r="R26" s="1">
        <v>141322</v>
      </c>
      <c r="S26" s="1">
        <v>154891</v>
      </c>
      <c r="T26" s="1">
        <v>175997</v>
      </c>
      <c r="U26" s="1">
        <v>143835</v>
      </c>
    </row>
    <row r="27" spans="1:21" x14ac:dyDescent="0.2">
      <c r="A27" s="26" t="s">
        <v>3</v>
      </c>
      <c r="B27" s="1">
        <v>71477.17</v>
      </c>
      <c r="C27" s="1">
        <v>74530.87</v>
      </c>
      <c r="D27" s="2">
        <v>70681.02</v>
      </c>
      <c r="E27" s="2">
        <v>110096.32000000001</v>
      </c>
      <c r="F27" s="2">
        <v>71470.009999999995</v>
      </c>
      <c r="G27" s="2">
        <v>73305</v>
      </c>
      <c r="H27" s="2">
        <v>77115</v>
      </c>
      <c r="I27" s="2">
        <v>73491</v>
      </c>
      <c r="J27" s="2">
        <v>126244</v>
      </c>
      <c r="K27" s="2">
        <v>82034</v>
      </c>
      <c r="L27" s="102">
        <v>81335</v>
      </c>
      <c r="M27" s="106">
        <v>83953</v>
      </c>
      <c r="N27" s="106">
        <v>134954</v>
      </c>
      <c r="O27" s="106">
        <v>147997</v>
      </c>
      <c r="P27" s="106">
        <v>136229</v>
      </c>
      <c r="Q27" s="106">
        <v>128205</v>
      </c>
      <c r="R27" s="1">
        <v>115908</v>
      </c>
      <c r="S27" s="1">
        <v>104520</v>
      </c>
      <c r="T27" s="1">
        <v>149619</v>
      </c>
      <c r="U27" s="1">
        <v>211448</v>
      </c>
    </row>
    <row r="28" spans="1:21" x14ac:dyDescent="0.2">
      <c r="A28" s="26" t="s">
        <v>4</v>
      </c>
      <c r="B28" s="1">
        <v>65843.259999999995</v>
      </c>
      <c r="C28" s="1">
        <v>47215.08</v>
      </c>
      <c r="D28" s="2">
        <v>38883.019999999997</v>
      </c>
      <c r="E28" s="2">
        <v>70907.929999999993</v>
      </c>
      <c r="F28" s="2">
        <v>55104.85</v>
      </c>
      <c r="G28" s="2">
        <v>68673</v>
      </c>
      <c r="H28" s="2">
        <v>61077</v>
      </c>
      <c r="I28" s="2">
        <v>74490</v>
      </c>
      <c r="J28" s="2">
        <v>90951</v>
      </c>
      <c r="K28" s="2">
        <v>82637</v>
      </c>
      <c r="L28" s="102">
        <v>84901</v>
      </c>
      <c r="M28" s="106">
        <v>96844</v>
      </c>
      <c r="N28" s="106">
        <v>92995</v>
      </c>
      <c r="O28" s="106">
        <v>101347</v>
      </c>
      <c r="P28" s="106">
        <v>103172</v>
      </c>
      <c r="Q28" s="106">
        <v>157548</v>
      </c>
      <c r="R28" s="1">
        <v>122509</v>
      </c>
      <c r="S28" s="1">
        <v>140830</v>
      </c>
      <c r="T28" s="1">
        <v>135352</v>
      </c>
      <c r="U28" s="1">
        <v>84934</v>
      </c>
    </row>
    <row r="29" spans="1:21" x14ac:dyDescent="0.2">
      <c r="A29" s="26" t="s">
        <v>5</v>
      </c>
      <c r="B29" s="1">
        <v>58575.31</v>
      </c>
      <c r="C29" s="1">
        <v>49080.13</v>
      </c>
      <c r="D29" s="2">
        <v>81456.639999999999</v>
      </c>
      <c r="E29" s="2">
        <v>97888.16</v>
      </c>
      <c r="F29" s="2">
        <v>59851.32</v>
      </c>
      <c r="G29" s="2">
        <v>58827</v>
      </c>
      <c r="H29" s="2">
        <v>83243</v>
      </c>
      <c r="I29" s="2">
        <v>80038</v>
      </c>
      <c r="J29" s="2">
        <v>-161364</v>
      </c>
      <c r="K29" s="2">
        <v>79702</v>
      </c>
      <c r="L29" s="102">
        <v>91784</v>
      </c>
      <c r="M29" s="106">
        <v>91555</v>
      </c>
      <c r="N29" s="106">
        <v>96436</v>
      </c>
      <c r="O29" s="106">
        <v>136623</v>
      </c>
      <c r="P29" s="106">
        <v>114350</v>
      </c>
      <c r="Q29" s="106">
        <v>148999</v>
      </c>
      <c r="R29" s="1">
        <v>108400</v>
      </c>
      <c r="S29" s="1">
        <v>132697</v>
      </c>
      <c r="T29" s="1">
        <v>122540</v>
      </c>
      <c r="U29" s="1">
        <v>175736</v>
      </c>
    </row>
    <row r="30" spans="1:21" x14ac:dyDescent="0.2">
      <c r="A30" s="26" t="s">
        <v>6</v>
      </c>
      <c r="B30" s="1">
        <v>43534.01</v>
      </c>
      <c r="C30" s="1">
        <v>34388.11</v>
      </c>
      <c r="D30" s="2">
        <v>41423.67</v>
      </c>
      <c r="E30" s="2">
        <v>125818.98</v>
      </c>
      <c r="F30" s="2">
        <v>33535.599999999999</v>
      </c>
      <c r="G30" s="2">
        <v>54738</v>
      </c>
      <c r="H30" s="2">
        <v>135359</v>
      </c>
      <c r="I30" s="2">
        <v>69332</v>
      </c>
      <c r="J30" s="2">
        <v>66696</v>
      </c>
      <c r="K30" s="2">
        <v>83501</v>
      </c>
      <c r="L30" s="102">
        <v>72233</v>
      </c>
      <c r="M30" s="106">
        <v>77972</v>
      </c>
      <c r="N30" s="106">
        <v>79972</v>
      </c>
      <c r="O30" s="106">
        <v>118709</v>
      </c>
      <c r="P30" s="106">
        <v>153515</v>
      </c>
      <c r="Q30" s="106">
        <v>151995</v>
      </c>
      <c r="R30" s="1">
        <v>184255</v>
      </c>
      <c r="S30" s="1">
        <v>146030</v>
      </c>
      <c r="T30" s="1">
        <v>143781</v>
      </c>
      <c r="U30" s="1">
        <v>184167</v>
      </c>
    </row>
    <row r="31" spans="1:21" x14ac:dyDescent="0.2">
      <c r="A31" s="26" t="s">
        <v>7</v>
      </c>
      <c r="B31" s="1">
        <v>89060.06</v>
      </c>
      <c r="C31" s="1">
        <v>99183.67</v>
      </c>
      <c r="D31" s="2">
        <v>124247.87</v>
      </c>
      <c r="E31" s="2">
        <v>96543.21</v>
      </c>
      <c r="F31" s="2">
        <v>114872.28</v>
      </c>
      <c r="G31" s="2">
        <v>67341</v>
      </c>
      <c r="H31" s="2">
        <v>72246</v>
      </c>
      <c r="I31" s="2">
        <v>123794</v>
      </c>
      <c r="J31" s="2">
        <v>67177</v>
      </c>
      <c r="K31" s="2">
        <v>167440</v>
      </c>
      <c r="L31" s="102">
        <v>153662</v>
      </c>
      <c r="M31" s="106">
        <v>117728</v>
      </c>
      <c r="N31" s="106">
        <v>150790</v>
      </c>
      <c r="O31" s="106">
        <v>117215</v>
      </c>
      <c r="P31" s="106">
        <v>124192</v>
      </c>
      <c r="Q31" s="106">
        <v>171792</v>
      </c>
      <c r="R31" s="1">
        <v>168147</v>
      </c>
      <c r="S31" s="1">
        <v>109057</v>
      </c>
      <c r="T31" s="1">
        <v>163511</v>
      </c>
      <c r="U31" s="1">
        <v>150499</v>
      </c>
    </row>
    <row r="32" spans="1:21" x14ac:dyDescent="0.2">
      <c r="A32" s="26" t="s">
        <v>8</v>
      </c>
      <c r="B32" s="1">
        <v>58821.97</v>
      </c>
      <c r="C32" s="1">
        <v>207500.88</v>
      </c>
      <c r="D32" s="2">
        <v>83791.210000000006</v>
      </c>
      <c r="E32" s="2">
        <v>82475.56</v>
      </c>
      <c r="F32" s="2">
        <v>84113.26</v>
      </c>
      <c r="G32" s="2">
        <v>68688</v>
      </c>
      <c r="H32" s="2">
        <v>64918</v>
      </c>
      <c r="I32" s="2">
        <v>96221</v>
      </c>
      <c r="J32" s="2">
        <v>77886</v>
      </c>
      <c r="K32" s="2">
        <v>85594</v>
      </c>
      <c r="L32" s="102">
        <v>95108</v>
      </c>
      <c r="M32" s="106">
        <v>96415</v>
      </c>
      <c r="N32" s="106">
        <v>103347</v>
      </c>
      <c r="O32" s="106">
        <v>143377</v>
      </c>
      <c r="P32" s="106">
        <v>148552</v>
      </c>
      <c r="Q32" s="106">
        <v>130594</v>
      </c>
      <c r="R32" s="2">
        <v>218791</v>
      </c>
      <c r="S32" s="1">
        <v>175015</v>
      </c>
      <c r="T32" s="1">
        <v>144727</v>
      </c>
      <c r="U32" s="1">
        <v>186905</v>
      </c>
    </row>
    <row r="33" spans="1:21" x14ac:dyDescent="0.2">
      <c r="A33" s="26" t="s">
        <v>9</v>
      </c>
      <c r="B33" s="1">
        <v>60466.67</v>
      </c>
      <c r="C33" s="1">
        <v>89505.78</v>
      </c>
      <c r="D33" s="2">
        <v>80561.94</v>
      </c>
      <c r="E33" s="2">
        <f>114769.61+67</f>
        <v>114836.61</v>
      </c>
      <c r="F33" s="2">
        <f>76774.59+1706.19</f>
        <v>78480.78</v>
      </c>
      <c r="G33" s="2">
        <v>65542</v>
      </c>
      <c r="H33" s="2">
        <v>46556</v>
      </c>
      <c r="I33" s="2">
        <v>87310</v>
      </c>
      <c r="J33" s="2">
        <v>108502</v>
      </c>
      <c r="K33" s="2">
        <v>-223324</v>
      </c>
      <c r="L33" s="102">
        <v>95153</v>
      </c>
      <c r="M33" s="106">
        <v>170162</v>
      </c>
      <c r="N33" s="106">
        <v>122804</v>
      </c>
      <c r="O33" s="106">
        <v>145024</v>
      </c>
      <c r="P33" s="106">
        <v>110637</v>
      </c>
      <c r="Q33" s="106">
        <v>141101</v>
      </c>
      <c r="R33" s="1">
        <v>196874</v>
      </c>
      <c r="S33" s="1">
        <v>160988</v>
      </c>
      <c r="T33" s="1">
        <v>175126</v>
      </c>
      <c r="U33" s="1">
        <v>166312</v>
      </c>
    </row>
    <row r="34" spans="1:21" x14ac:dyDescent="0.2">
      <c r="A34" s="26" t="s">
        <v>10</v>
      </c>
      <c r="B34" s="1">
        <v>64569.440000000002</v>
      </c>
      <c r="C34" s="1">
        <v>72000.740000000005</v>
      </c>
      <c r="D34" s="2">
        <v>85341.17</v>
      </c>
      <c r="E34" s="2">
        <v>102988.53</v>
      </c>
      <c r="F34" s="2"/>
      <c r="G34" s="2">
        <v>116694</v>
      </c>
      <c r="H34" s="2">
        <v>68442</v>
      </c>
      <c r="I34" s="2">
        <v>92309</v>
      </c>
      <c r="J34" s="2">
        <v>79422</v>
      </c>
      <c r="K34" s="2">
        <v>377253</v>
      </c>
      <c r="L34" s="102">
        <v>83834</v>
      </c>
      <c r="M34" s="106">
        <v>83998</v>
      </c>
      <c r="N34" s="106">
        <v>97993</v>
      </c>
      <c r="O34" s="106">
        <v>123895</v>
      </c>
      <c r="P34" s="106">
        <v>157613</v>
      </c>
      <c r="Q34" s="106">
        <v>138002</v>
      </c>
      <c r="R34" s="1">
        <v>122555</v>
      </c>
      <c r="S34" s="1">
        <v>141749</v>
      </c>
      <c r="T34" s="1">
        <v>140805</v>
      </c>
      <c r="U34" s="1">
        <v>140934</v>
      </c>
    </row>
    <row r="35" spans="1:21" x14ac:dyDescent="0.2">
      <c r="A35" s="26" t="s">
        <v>11</v>
      </c>
      <c r="B35" s="39">
        <v>66505.960000000006</v>
      </c>
      <c r="C35" s="39">
        <v>72465.91</v>
      </c>
      <c r="D35" s="39">
        <v>135759.70000000001</v>
      </c>
      <c r="E35" s="39">
        <v>80444.77</v>
      </c>
      <c r="F35" s="39">
        <v>122154</v>
      </c>
      <c r="G35" s="40">
        <v>52283</v>
      </c>
      <c r="H35" s="40">
        <v>71087</v>
      </c>
      <c r="I35" s="40">
        <v>82756</v>
      </c>
      <c r="J35" s="40">
        <v>96550</v>
      </c>
      <c r="K35" s="40">
        <v>85988</v>
      </c>
      <c r="L35" s="95">
        <v>79217</v>
      </c>
      <c r="M35" s="40">
        <v>77207</v>
      </c>
      <c r="N35" s="40">
        <v>121354</v>
      </c>
      <c r="O35" s="40">
        <v>122185</v>
      </c>
      <c r="P35" s="40">
        <v>122941</v>
      </c>
      <c r="Q35" s="40">
        <v>128146</v>
      </c>
      <c r="R35" s="1">
        <v>275449</v>
      </c>
      <c r="S35" s="1">
        <v>144547</v>
      </c>
      <c r="T35" s="1">
        <v>129691</v>
      </c>
      <c r="U35" s="1">
        <v>126992</v>
      </c>
    </row>
    <row r="36" spans="1:21" x14ac:dyDescent="0.2">
      <c r="A36" s="25"/>
      <c r="B36" s="46">
        <f t="shared" ref="B36:H36" si="7">SUM(B24:B35)</f>
        <v>786898.10000000009</v>
      </c>
      <c r="C36" s="46">
        <f t="shared" si="7"/>
        <v>920945.6</v>
      </c>
      <c r="D36" s="41">
        <f t="shared" si="7"/>
        <v>943867.05</v>
      </c>
      <c r="E36" s="41">
        <f t="shared" si="7"/>
        <v>1133279.4799999997</v>
      </c>
      <c r="F36" s="41">
        <f t="shared" si="7"/>
        <v>878460.5</v>
      </c>
      <c r="G36" s="41">
        <f t="shared" si="7"/>
        <v>821514</v>
      </c>
      <c r="H36" s="41">
        <f t="shared" si="7"/>
        <v>892761</v>
      </c>
      <c r="I36" s="44">
        <f t="shared" ref="I36:N36" si="8">SUM(I24:I35)</f>
        <v>980370</v>
      </c>
      <c r="J36" s="44">
        <f t="shared" si="8"/>
        <v>852518</v>
      </c>
      <c r="K36" s="44">
        <f t="shared" si="8"/>
        <v>952577</v>
      </c>
      <c r="L36" s="96">
        <f t="shared" si="8"/>
        <v>1110687</v>
      </c>
      <c r="M36" s="96">
        <f t="shared" si="8"/>
        <v>1168845</v>
      </c>
      <c r="N36" s="96">
        <f t="shared" si="8"/>
        <v>1363787</v>
      </c>
      <c r="O36" s="96">
        <f t="shared" ref="O36:P36" si="9">SUM(O24:O35)</f>
        <v>1547802</v>
      </c>
      <c r="P36" s="96">
        <f t="shared" si="9"/>
        <v>1556211</v>
      </c>
      <c r="Q36" s="96">
        <f t="shared" ref="Q36" si="10">SUM(Q24:Q35)</f>
        <v>1714053</v>
      </c>
      <c r="R36" s="126">
        <f t="shared" ref="R36:S36" si="11">SUM(R24:R35)</f>
        <v>1982943</v>
      </c>
      <c r="S36" s="126">
        <f t="shared" si="11"/>
        <v>1861027</v>
      </c>
      <c r="T36" s="126">
        <f t="shared" ref="T36:U36" si="12">SUM(T24:T35)</f>
        <v>1813054</v>
      </c>
      <c r="U36" s="126">
        <f t="shared" si="12"/>
        <v>1909337</v>
      </c>
    </row>
    <row r="37" spans="1:21" x14ac:dyDescent="0.2">
      <c r="A37" s="25"/>
      <c r="B37" s="1"/>
      <c r="C37" s="46"/>
      <c r="D37" s="41"/>
      <c r="E37" s="41"/>
      <c r="F37" s="41"/>
      <c r="G37" s="41"/>
      <c r="H37" s="41"/>
      <c r="I37" s="44"/>
      <c r="J37" s="44"/>
      <c r="K37" s="44"/>
      <c r="L37" s="96"/>
      <c r="M37" s="96"/>
      <c r="N37" s="96"/>
      <c r="O37" s="96"/>
      <c r="P37" s="96"/>
      <c r="Q37" s="96"/>
      <c r="R37" s="96"/>
      <c r="S37" s="96"/>
      <c r="T37" s="96"/>
      <c r="U37" s="96"/>
    </row>
    <row r="38" spans="1:21" x14ac:dyDescent="0.2">
      <c r="A38" s="25"/>
      <c r="B38" s="1"/>
      <c r="C38" s="46"/>
      <c r="D38" s="41"/>
      <c r="E38" s="41"/>
      <c r="F38" s="41"/>
      <c r="G38" s="41"/>
      <c r="H38" s="41"/>
      <c r="I38" s="44"/>
      <c r="J38" s="44"/>
      <c r="K38" s="44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x14ac:dyDescent="0.2">
      <c r="A39" s="25"/>
      <c r="G39" s="2"/>
      <c r="L39" s="94"/>
    </row>
    <row r="40" spans="1:21" x14ac:dyDescent="0.2">
      <c r="A40" s="29" t="s">
        <v>247</v>
      </c>
      <c r="B40" s="94"/>
      <c r="C40" s="94"/>
      <c r="D40" s="94"/>
      <c r="E40" s="152"/>
      <c r="F40" s="152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</row>
    <row r="41" spans="1:21" x14ac:dyDescent="0.2">
      <c r="A41" s="94"/>
      <c r="B41" s="16">
        <v>2004</v>
      </c>
      <c r="C41" s="16">
        <v>2005</v>
      </c>
      <c r="D41" s="16">
        <v>2006</v>
      </c>
      <c r="E41" s="16">
        <v>2007</v>
      </c>
      <c r="F41" s="16">
        <v>2008</v>
      </c>
      <c r="G41" s="16">
        <v>2009</v>
      </c>
      <c r="H41" s="16">
        <v>2010</v>
      </c>
      <c r="I41" s="16">
        <v>2011</v>
      </c>
      <c r="J41" s="18">
        <v>2012</v>
      </c>
      <c r="K41" s="16">
        <v>2013</v>
      </c>
      <c r="L41" s="18">
        <v>2014</v>
      </c>
      <c r="M41" s="18">
        <v>2015</v>
      </c>
      <c r="N41" s="18">
        <v>2016</v>
      </c>
      <c r="O41" s="86">
        <v>2017</v>
      </c>
      <c r="P41" s="86">
        <v>2018</v>
      </c>
      <c r="Q41" s="86">
        <v>2019</v>
      </c>
      <c r="R41" s="86">
        <v>2020</v>
      </c>
      <c r="S41" s="86">
        <v>2021</v>
      </c>
      <c r="T41" s="86">
        <v>2022</v>
      </c>
      <c r="U41" s="86">
        <v>2023</v>
      </c>
    </row>
    <row r="42" spans="1:21" x14ac:dyDescent="0.2">
      <c r="A42" s="150"/>
      <c r="B42" s="151"/>
      <c r="C42" s="151"/>
      <c r="D42" s="151"/>
      <c r="E42" s="151"/>
      <c r="F42" s="159"/>
      <c r="G42" s="159"/>
      <c r="H42" s="104"/>
      <c r="I42" s="104"/>
      <c r="J42" s="151"/>
      <c r="K42" s="104"/>
      <c r="L42" s="105"/>
      <c r="M42" s="151"/>
      <c r="N42" s="151"/>
    </row>
    <row r="43" spans="1:21" x14ac:dyDescent="0.2">
      <c r="A43" s="26" t="s">
        <v>0</v>
      </c>
      <c r="B43" s="151"/>
      <c r="C43" s="151"/>
      <c r="D43" s="151"/>
      <c r="E43" s="151"/>
      <c r="F43" s="2"/>
      <c r="G43" s="2">
        <v>-3291</v>
      </c>
      <c r="H43" s="2">
        <v>-13651</v>
      </c>
      <c r="I43" s="2">
        <v>-1377</v>
      </c>
      <c r="J43" s="2">
        <v>-30</v>
      </c>
      <c r="K43" s="2">
        <v>-3156</v>
      </c>
      <c r="L43" s="2">
        <v>-4023</v>
      </c>
      <c r="M43" s="2">
        <v>-27715</v>
      </c>
      <c r="N43" s="2">
        <v>-28637</v>
      </c>
      <c r="O43" s="102">
        <v>-378</v>
      </c>
      <c r="P43" s="102">
        <v>-11126</v>
      </c>
      <c r="Q43" s="102">
        <v>-7575</v>
      </c>
      <c r="R43" s="1">
        <v>-883</v>
      </c>
      <c r="S43" s="102">
        <v>0</v>
      </c>
      <c r="T43" s="1">
        <v>-21852</v>
      </c>
      <c r="U43" s="1">
        <v>-383</v>
      </c>
    </row>
    <row r="44" spans="1:21" x14ac:dyDescent="0.2">
      <c r="A44" s="26" t="s">
        <v>1</v>
      </c>
      <c r="B44" s="151"/>
      <c r="C44" s="151"/>
      <c r="D44" s="151"/>
      <c r="E44" s="151"/>
      <c r="F44" s="2"/>
      <c r="G44" s="2">
        <v>-16808</v>
      </c>
      <c r="H44" s="2">
        <v>-105766</v>
      </c>
      <c r="I44" s="2">
        <v>-135735</v>
      </c>
      <c r="J44" s="2">
        <v>-1042</v>
      </c>
      <c r="K44" s="2">
        <v>-63706</v>
      </c>
      <c r="L44" s="2">
        <v>-12162</v>
      </c>
      <c r="M44" s="2">
        <v>-368</v>
      </c>
      <c r="N44" s="2">
        <v>-1721</v>
      </c>
      <c r="O44" s="102">
        <v>-3255</v>
      </c>
      <c r="P44" s="102">
        <v>-86479</v>
      </c>
      <c r="Q44" s="102">
        <v>-3610</v>
      </c>
      <c r="R44" s="1">
        <v>-2548</v>
      </c>
      <c r="S44" s="1">
        <v>-585</v>
      </c>
      <c r="T44" s="1">
        <v>-6609</v>
      </c>
      <c r="U44" s="1">
        <v>-535</v>
      </c>
    </row>
    <row r="45" spans="1:21" x14ac:dyDescent="0.2">
      <c r="A45" s="26" t="s">
        <v>2</v>
      </c>
      <c r="B45" s="151"/>
      <c r="C45" s="151"/>
      <c r="D45" s="151"/>
      <c r="E45" s="151"/>
      <c r="F45" s="2"/>
      <c r="G45" s="2">
        <v>-17100</v>
      </c>
      <c r="H45" s="2">
        <v>-53369</v>
      </c>
      <c r="I45" s="2">
        <v>-18941</v>
      </c>
      <c r="J45" s="2">
        <v>-19145</v>
      </c>
      <c r="K45" s="2">
        <v>-116</v>
      </c>
      <c r="L45" s="2">
        <v>-492</v>
      </c>
      <c r="M45" s="2">
        <v>-5600</v>
      </c>
      <c r="N45" s="2">
        <v>-568</v>
      </c>
      <c r="O45" s="106">
        <v>-3671</v>
      </c>
      <c r="P45" s="106">
        <v>-7538</v>
      </c>
      <c r="Q45" s="106">
        <v>-1</v>
      </c>
      <c r="R45" s="1">
        <v>-90545</v>
      </c>
      <c r="S45" s="1">
        <v>-185</v>
      </c>
      <c r="T45" s="1">
        <v>-32</v>
      </c>
      <c r="U45" s="1">
        <v>-35</v>
      </c>
    </row>
    <row r="46" spans="1:21" x14ac:dyDescent="0.2">
      <c r="A46" s="26" t="s">
        <v>3</v>
      </c>
      <c r="B46" s="151"/>
      <c r="C46" s="151"/>
      <c r="D46" s="151"/>
      <c r="E46" s="151"/>
      <c r="F46" s="2"/>
      <c r="G46" s="2">
        <v>-343826</v>
      </c>
      <c r="H46" s="2">
        <v>-23365</v>
      </c>
      <c r="I46" s="2">
        <v>-8884</v>
      </c>
      <c r="J46" s="2">
        <v>-526</v>
      </c>
      <c r="K46" s="2">
        <v>-18808</v>
      </c>
      <c r="L46" s="2">
        <v>-762</v>
      </c>
      <c r="M46" s="2">
        <v>-649</v>
      </c>
      <c r="N46" s="2">
        <v>-1455</v>
      </c>
      <c r="O46" s="106">
        <v>-70</v>
      </c>
      <c r="P46" s="106">
        <v>-2731</v>
      </c>
      <c r="Q46" s="106">
        <v>-201688</v>
      </c>
      <c r="R46" s="1">
        <v>-1344</v>
      </c>
      <c r="S46" s="106">
        <v>0</v>
      </c>
      <c r="T46" s="1">
        <v>-6363</v>
      </c>
      <c r="U46" s="1">
        <v>-53</v>
      </c>
    </row>
    <row r="47" spans="1:21" x14ac:dyDescent="0.2">
      <c r="A47" s="26" t="s">
        <v>4</v>
      </c>
      <c r="B47" s="151"/>
      <c r="C47" s="151"/>
      <c r="D47" s="151"/>
      <c r="E47" s="151"/>
      <c r="F47" s="2"/>
      <c r="G47" s="2">
        <v>-10549</v>
      </c>
      <c r="H47" s="2">
        <v>-3175</v>
      </c>
      <c r="I47" s="2">
        <v>-1484</v>
      </c>
      <c r="J47" s="2">
        <v>-49566</v>
      </c>
      <c r="K47" s="2">
        <v>-1100</v>
      </c>
      <c r="L47" s="2">
        <v>-1046</v>
      </c>
      <c r="M47" s="2">
        <v>-1881</v>
      </c>
      <c r="N47" s="2">
        <v>-56035</v>
      </c>
      <c r="O47" s="106">
        <v>-22354</v>
      </c>
      <c r="P47" s="106">
        <v>-6918</v>
      </c>
      <c r="Q47" s="106">
        <v>-22147</v>
      </c>
      <c r="R47" s="1">
        <v>-159</v>
      </c>
      <c r="S47" s="106">
        <v>0</v>
      </c>
      <c r="T47" s="1">
        <v>-2490</v>
      </c>
      <c r="U47" s="1">
        <v>-257</v>
      </c>
    </row>
    <row r="48" spans="1:21" x14ac:dyDescent="0.2">
      <c r="A48" s="26" t="s">
        <v>5</v>
      </c>
      <c r="B48" s="151"/>
      <c r="C48" s="151"/>
      <c r="D48" s="151"/>
      <c r="E48" s="151"/>
      <c r="F48" s="2"/>
      <c r="G48" s="2">
        <v>-35792</v>
      </c>
      <c r="H48" s="2">
        <v>-17740</v>
      </c>
      <c r="I48" s="2">
        <v>-1452</v>
      </c>
      <c r="J48" s="2">
        <v>-90310</v>
      </c>
      <c r="K48" s="2">
        <v>-15588</v>
      </c>
      <c r="L48" s="2">
        <v>-9102</v>
      </c>
      <c r="M48" s="2">
        <v>-6782</v>
      </c>
      <c r="N48" s="2">
        <v>-35765</v>
      </c>
      <c r="O48" s="106">
        <v>-38091</v>
      </c>
      <c r="P48" s="106">
        <v>-3388</v>
      </c>
      <c r="Q48" s="106">
        <v>-8987</v>
      </c>
      <c r="R48" s="1">
        <v>-103339</v>
      </c>
      <c r="S48" s="106">
        <v>0</v>
      </c>
      <c r="T48" s="106">
        <v>-159</v>
      </c>
      <c r="U48" s="106">
        <v>-14</v>
      </c>
    </row>
    <row r="49" spans="1:21" x14ac:dyDescent="0.2">
      <c r="A49" s="26" t="s">
        <v>6</v>
      </c>
      <c r="B49" s="151"/>
      <c r="C49" s="151"/>
      <c r="D49" s="151"/>
      <c r="E49" s="151"/>
      <c r="F49" s="2"/>
      <c r="G49" s="2">
        <v>-5</v>
      </c>
      <c r="H49" s="2">
        <v>-366</v>
      </c>
      <c r="I49" s="2">
        <v>-12005</v>
      </c>
      <c r="J49" s="2">
        <v>-12585</v>
      </c>
      <c r="K49" s="2">
        <v>-3093</v>
      </c>
      <c r="L49" s="2">
        <v>-93515</v>
      </c>
      <c r="M49" s="2">
        <v>-56461</v>
      </c>
      <c r="N49" s="2">
        <v>-15841</v>
      </c>
      <c r="O49" s="106">
        <v>-28360</v>
      </c>
      <c r="P49" s="106">
        <v>-106</v>
      </c>
      <c r="Q49" s="106">
        <v>-2133</v>
      </c>
      <c r="R49" s="1">
        <v>-2441</v>
      </c>
      <c r="S49" s="1">
        <v>-4163</v>
      </c>
      <c r="T49" s="1">
        <v>-1060</v>
      </c>
      <c r="U49" s="1">
        <v>-1226</v>
      </c>
    </row>
    <row r="50" spans="1:21" x14ac:dyDescent="0.2">
      <c r="A50" s="26" t="s">
        <v>7</v>
      </c>
      <c r="B50" s="151"/>
      <c r="C50" s="151"/>
      <c r="D50" s="151"/>
      <c r="E50" s="151"/>
      <c r="F50" s="2"/>
      <c r="G50" s="2">
        <v>-19267</v>
      </c>
      <c r="H50" s="2">
        <v>-4966</v>
      </c>
      <c r="I50" s="2">
        <v>-6584</v>
      </c>
      <c r="J50" s="2">
        <v>-18242</v>
      </c>
      <c r="K50" s="2">
        <v>-29847</v>
      </c>
      <c r="L50" s="2">
        <v>-6269</v>
      </c>
      <c r="M50" s="2">
        <v>-5458</v>
      </c>
      <c r="N50" s="2">
        <v>-5679</v>
      </c>
      <c r="O50" s="106">
        <v>-22542</v>
      </c>
      <c r="P50" s="106">
        <v>-3</v>
      </c>
      <c r="Q50" s="106">
        <v>-455</v>
      </c>
      <c r="R50" s="1">
        <v>-38671</v>
      </c>
      <c r="S50" s="106">
        <v>31</v>
      </c>
      <c r="T50" s="106">
        <v>-452</v>
      </c>
      <c r="U50" s="106">
        <v>-2</v>
      </c>
    </row>
    <row r="51" spans="1:21" x14ac:dyDescent="0.2">
      <c r="A51" s="26" t="s">
        <v>8</v>
      </c>
      <c r="B51" s="151"/>
      <c r="C51" s="151"/>
      <c r="D51" s="151"/>
      <c r="E51" s="151"/>
      <c r="F51" s="2"/>
      <c r="G51" s="2">
        <v>-2307</v>
      </c>
      <c r="H51" s="2">
        <v>-688</v>
      </c>
      <c r="I51" s="2">
        <v>-16942</v>
      </c>
      <c r="J51" s="2">
        <v>-7380</v>
      </c>
      <c r="K51" s="2">
        <v>-7995</v>
      </c>
      <c r="L51" s="2">
        <v>-311</v>
      </c>
      <c r="M51" s="2">
        <v>-10630</v>
      </c>
      <c r="N51" s="2">
        <v>-5673</v>
      </c>
      <c r="O51" s="106">
        <v>-134</v>
      </c>
      <c r="P51" s="106">
        <v>0</v>
      </c>
      <c r="Q51" s="106">
        <v>0</v>
      </c>
      <c r="R51" s="2">
        <v>-24470</v>
      </c>
      <c r="S51" s="106">
        <v>-38</v>
      </c>
      <c r="T51" s="1">
        <v>-1359</v>
      </c>
      <c r="U51" s="1">
        <v>-193955</v>
      </c>
    </row>
    <row r="52" spans="1:21" x14ac:dyDescent="0.2">
      <c r="A52" s="26" t="s">
        <v>9</v>
      </c>
      <c r="B52" s="151"/>
      <c r="C52" s="151"/>
      <c r="D52" s="151"/>
      <c r="E52" s="151"/>
      <c r="F52" s="2"/>
      <c r="G52" s="2">
        <v>-8509</v>
      </c>
      <c r="H52" s="2">
        <v>-336</v>
      </c>
      <c r="I52" s="2">
        <v>-4610</v>
      </c>
      <c r="J52" s="2">
        <v>-9303</v>
      </c>
      <c r="K52" s="2">
        <v>-245709</v>
      </c>
      <c r="L52" s="2">
        <v>-324</v>
      </c>
      <c r="M52" s="2">
        <v>-1915</v>
      </c>
      <c r="N52" s="2">
        <v>-3</v>
      </c>
      <c r="O52" s="106">
        <v>-1284</v>
      </c>
      <c r="P52" s="106">
        <v>-27325</v>
      </c>
      <c r="Q52" s="106">
        <v>-332</v>
      </c>
      <c r="R52" s="1">
        <v>-241805</v>
      </c>
      <c r="S52" s="1">
        <v>-120137</v>
      </c>
      <c r="T52" s="1">
        <v>-68</v>
      </c>
      <c r="U52" s="1">
        <v>-176</v>
      </c>
    </row>
    <row r="53" spans="1:21" x14ac:dyDescent="0.2">
      <c r="A53" s="26" t="s">
        <v>10</v>
      </c>
      <c r="B53" s="160"/>
      <c r="C53" s="160"/>
      <c r="D53" s="160"/>
      <c r="E53" s="160"/>
      <c r="F53" s="2"/>
      <c r="G53" s="2">
        <v>-5154</v>
      </c>
      <c r="H53" s="2">
        <v>-29815</v>
      </c>
      <c r="I53" s="2">
        <v>-7909</v>
      </c>
      <c r="J53" s="2">
        <v>-19176</v>
      </c>
      <c r="K53" s="2">
        <v>-23663</v>
      </c>
      <c r="L53" s="2">
        <v>-24648</v>
      </c>
      <c r="M53" s="2">
        <v>-32021</v>
      </c>
      <c r="N53" s="2">
        <v>-17644</v>
      </c>
      <c r="O53" s="106">
        <v>-71</v>
      </c>
      <c r="P53" s="106">
        <v>-95</v>
      </c>
      <c r="Q53" s="106">
        <v>-2526</v>
      </c>
      <c r="R53" s="1">
        <v>-102</v>
      </c>
      <c r="S53" s="1">
        <v>-464</v>
      </c>
      <c r="T53" s="1">
        <v>-85</v>
      </c>
      <c r="U53" s="1">
        <v>-160</v>
      </c>
    </row>
    <row r="54" spans="1:21" x14ac:dyDescent="0.2">
      <c r="A54" s="26" t="s">
        <v>11</v>
      </c>
      <c r="B54" s="162"/>
      <c r="C54" s="162"/>
      <c r="D54" s="162"/>
      <c r="E54" s="162"/>
      <c r="F54" s="40">
        <v>-27</v>
      </c>
      <c r="G54" s="40">
        <v>-26928</v>
      </c>
      <c r="H54" s="40">
        <v>-306</v>
      </c>
      <c r="I54" s="40">
        <v>-4591</v>
      </c>
      <c r="J54" s="40">
        <v>-17908</v>
      </c>
      <c r="K54" s="40">
        <v>-28768</v>
      </c>
      <c r="L54" s="40">
        <v>-48507</v>
      </c>
      <c r="M54" s="40">
        <v>-5417</v>
      </c>
      <c r="N54" s="40">
        <v>-18079</v>
      </c>
      <c r="O54" s="40">
        <v>-10661</v>
      </c>
      <c r="P54" s="40">
        <v>-108</v>
      </c>
      <c r="Q54" s="40">
        <v>-2447</v>
      </c>
      <c r="R54" s="1">
        <v>-1231</v>
      </c>
      <c r="S54" s="1">
        <v>-1772</v>
      </c>
      <c r="T54" s="1">
        <v>-11672</v>
      </c>
      <c r="U54" s="1">
        <v>-68</v>
      </c>
    </row>
    <row r="55" spans="1:21" x14ac:dyDescent="0.2">
      <c r="A55" s="94"/>
      <c r="B55" s="126"/>
      <c r="C55" s="126"/>
      <c r="D55" s="126"/>
      <c r="E55" s="126"/>
      <c r="F55" s="126">
        <f t="shared" ref="F55:N55" si="13">SUM(F43:F54)</f>
        <v>-27</v>
      </c>
      <c r="G55" s="126">
        <f t="shared" si="13"/>
        <v>-489536</v>
      </c>
      <c r="H55" s="126">
        <f t="shared" si="13"/>
        <v>-253543</v>
      </c>
      <c r="I55" s="126">
        <f t="shared" si="13"/>
        <v>-220514</v>
      </c>
      <c r="J55" s="126">
        <f t="shared" si="13"/>
        <v>-245213</v>
      </c>
      <c r="K55" s="126">
        <f t="shared" si="13"/>
        <v>-441549</v>
      </c>
      <c r="L55" s="126">
        <f t="shared" si="13"/>
        <v>-201161</v>
      </c>
      <c r="M55" s="126">
        <f t="shared" si="13"/>
        <v>-154897</v>
      </c>
      <c r="N55" s="126">
        <f t="shared" si="13"/>
        <v>-187100</v>
      </c>
      <c r="O55" s="96">
        <f t="shared" ref="O55:P55" si="14">SUM(O43:O54)</f>
        <v>-130871</v>
      </c>
      <c r="P55" s="96">
        <f t="shared" si="14"/>
        <v>-145817</v>
      </c>
      <c r="Q55" s="96">
        <f t="shared" ref="Q55" si="15">SUM(Q43:Q54)</f>
        <v>-251901</v>
      </c>
      <c r="R55" s="126">
        <f t="shared" ref="R55:S55" si="16">SUM(R43:R54)</f>
        <v>-507538</v>
      </c>
      <c r="S55" s="126">
        <f t="shared" si="16"/>
        <v>-127313</v>
      </c>
      <c r="T55" s="126">
        <f t="shared" ref="T55:U55" si="17">SUM(T43:T54)</f>
        <v>-52201</v>
      </c>
      <c r="U55" s="126">
        <f t="shared" si="17"/>
        <v>-196864</v>
      </c>
    </row>
    <row r="56" spans="1:21" x14ac:dyDescent="0.2">
      <c r="A56" s="25"/>
      <c r="B56" s="31"/>
      <c r="C56" s="31"/>
      <c r="D56" s="31"/>
      <c r="E56" s="31"/>
      <c r="F56" s="31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</row>
    <row r="57" spans="1:21" x14ac:dyDescent="0.2">
      <c r="A57" s="25"/>
      <c r="B57" s="31"/>
      <c r="C57" s="31"/>
      <c r="D57" s="31"/>
      <c r="E57" s="31"/>
      <c r="F57" s="31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</row>
    <row r="58" spans="1:21" x14ac:dyDescent="0.2">
      <c r="A58" s="24" t="s">
        <v>38</v>
      </c>
      <c r="G58" s="2"/>
    </row>
    <row r="59" spans="1:21" x14ac:dyDescent="0.2">
      <c r="A59" s="24" t="s">
        <v>39</v>
      </c>
      <c r="B59" s="144">
        <v>7.0000000000000007E-2</v>
      </c>
      <c r="C59" t="s">
        <v>183</v>
      </c>
      <c r="G59" s="2"/>
    </row>
    <row r="60" spans="1:21" x14ac:dyDescent="0.2">
      <c r="A60" s="27"/>
      <c r="B60" s="16">
        <v>2004</v>
      </c>
      <c r="C60" s="16">
        <v>2005</v>
      </c>
      <c r="D60" s="16">
        <v>2006</v>
      </c>
      <c r="E60" s="16">
        <v>2007</v>
      </c>
      <c r="F60" s="16">
        <v>2008</v>
      </c>
      <c r="G60" s="16">
        <v>2009</v>
      </c>
      <c r="H60" s="16">
        <v>2010</v>
      </c>
      <c r="I60" s="16">
        <v>2011</v>
      </c>
      <c r="J60" s="18">
        <v>2012</v>
      </c>
      <c r="K60" s="18">
        <v>2013</v>
      </c>
      <c r="L60" s="18">
        <v>2014</v>
      </c>
      <c r="M60" s="18">
        <v>2015</v>
      </c>
      <c r="N60" s="86">
        <v>2016</v>
      </c>
      <c r="O60" s="86">
        <v>2017</v>
      </c>
      <c r="P60" s="86">
        <v>2018</v>
      </c>
      <c r="Q60" s="86">
        <v>2019</v>
      </c>
      <c r="R60" s="86">
        <v>2020</v>
      </c>
      <c r="S60" s="86">
        <v>2021</v>
      </c>
      <c r="T60" s="86">
        <v>2022</v>
      </c>
      <c r="U60" s="86">
        <v>2023</v>
      </c>
    </row>
    <row r="61" spans="1:21" x14ac:dyDescent="0.2">
      <c r="A61" s="25"/>
      <c r="G61" s="2"/>
    </row>
    <row r="62" spans="1:21" x14ac:dyDescent="0.2">
      <c r="A62" s="26" t="s">
        <v>0</v>
      </c>
      <c r="B62" s="1">
        <v>164090</v>
      </c>
      <c r="C62" s="1">
        <v>254310</v>
      </c>
      <c r="D62" s="1">
        <v>230431</v>
      </c>
      <c r="E62" s="1">
        <v>214936.44</v>
      </c>
      <c r="F62" s="1">
        <v>215187</v>
      </c>
      <c r="G62" s="1">
        <v>219802</v>
      </c>
      <c r="H62" s="2">
        <v>230819</v>
      </c>
      <c r="I62" s="2">
        <v>226469</v>
      </c>
      <c r="J62" s="2">
        <v>227584</v>
      </c>
      <c r="K62" s="2">
        <v>316491</v>
      </c>
      <c r="L62" s="113">
        <v>276423</v>
      </c>
      <c r="M62" s="102">
        <v>498368</v>
      </c>
      <c r="N62" s="102">
        <v>583431</v>
      </c>
      <c r="O62" s="102">
        <v>585628</v>
      </c>
      <c r="P62" s="102">
        <v>595437</v>
      </c>
      <c r="Q62" s="102">
        <v>654674</v>
      </c>
      <c r="R62" s="1">
        <v>707500</v>
      </c>
      <c r="S62" s="1">
        <v>363727</v>
      </c>
      <c r="T62" s="1">
        <v>648504</v>
      </c>
      <c r="U62" s="1">
        <v>673130</v>
      </c>
    </row>
    <row r="63" spans="1:21" x14ac:dyDescent="0.2">
      <c r="A63" s="26" t="s">
        <v>1</v>
      </c>
      <c r="B63" s="1">
        <v>226291</v>
      </c>
      <c r="C63" s="1">
        <v>203461</v>
      </c>
      <c r="D63" s="1">
        <v>221593</v>
      </c>
      <c r="E63" s="1">
        <v>254778</v>
      </c>
      <c r="F63" s="1">
        <v>271622</v>
      </c>
      <c r="G63" s="1">
        <v>246587</v>
      </c>
      <c r="H63" s="2">
        <v>254335</v>
      </c>
      <c r="I63" s="2">
        <v>260892</v>
      </c>
      <c r="J63" s="2">
        <v>268257</v>
      </c>
      <c r="K63" s="2">
        <v>293175</v>
      </c>
      <c r="L63" s="113">
        <v>576032</v>
      </c>
      <c r="M63" s="102">
        <v>563836</v>
      </c>
      <c r="N63" s="102">
        <v>600613</v>
      </c>
      <c r="O63" s="102">
        <v>646239</v>
      </c>
      <c r="P63" s="102">
        <v>785885</v>
      </c>
      <c r="Q63" s="102">
        <v>741547</v>
      </c>
      <c r="R63" s="113">
        <v>790115</v>
      </c>
      <c r="S63" s="1">
        <v>452404</v>
      </c>
      <c r="T63" s="1">
        <v>645473</v>
      </c>
      <c r="U63" s="1">
        <v>795763</v>
      </c>
    </row>
    <row r="64" spans="1:21" x14ac:dyDescent="0.2">
      <c r="A64" s="26" t="s">
        <v>2</v>
      </c>
      <c r="B64" s="1">
        <v>201389.42</v>
      </c>
      <c r="C64" s="1">
        <v>201821.13</v>
      </c>
      <c r="D64" s="1">
        <v>230752</v>
      </c>
      <c r="E64" s="1">
        <v>244291</v>
      </c>
      <c r="F64" s="1">
        <v>259616</v>
      </c>
      <c r="G64" s="1">
        <v>238978</v>
      </c>
      <c r="H64" s="2">
        <v>243619</v>
      </c>
      <c r="I64" s="2">
        <v>258253</v>
      </c>
      <c r="J64" s="2">
        <v>279494</v>
      </c>
      <c r="K64" s="2">
        <v>289490</v>
      </c>
      <c r="L64" s="113">
        <v>580655</v>
      </c>
      <c r="M64" s="106">
        <v>584804</v>
      </c>
      <c r="N64" s="106">
        <v>633584</v>
      </c>
      <c r="O64" s="106">
        <v>644701</v>
      </c>
      <c r="P64" s="106">
        <v>680458</v>
      </c>
      <c r="Q64" s="106">
        <v>718788</v>
      </c>
      <c r="R64" s="113">
        <v>752735</v>
      </c>
      <c r="S64" s="1">
        <v>460773</v>
      </c>
      <c r="T64" s="1">
        <v>657008</v>
      </c>
      <c r="U64" s="1">
        <v>683147</v>
      </c>
    </row>
    <row r="65" spans="1:21" x14ac:dyDescent="0.2">
      <c r="A65" s="26" t="s">
        <v>3</v>
      </c>
      <c r="B65" s="1">
        <v>231803.38</v>
      </c>
      <c r="C65" s="1">
        <v>239447</v>
      </c>
      <c r="D65" s="1">
        <v>264322</v>
      </c>
      <c r="E65" s="1">
        <v>316518</v>
      </c>
      <c r="F65" s="1">
        <v>290281</v>
      </c>
      <c r="G65" s="1">
        <v>275026</v>
      </c>
      <c r="H65" s="2">
        <v>283127</v>
      </c>
      <c r="I65" s="2">
        <v>307302</v>
      </c>
      <c r="J65" s="2">
        <v>327836</v>
      </c>
      <c r="K65" s="2">
        <v>345829</v>
      </c>
      <c r="L65" s="113">
        <v>639856</v>
      </c>
      <c r="M65" s="106">
        <v>660835</v>
      </c>
      <c r="N65" s="106">
        <v>722774</v>
      </c>
      <c r="O65" s="106">
        <v>791365</v>
      </c>
      <c r="P65" s="106">
        <v>769275</v>
      </c>
      <c r="Q65" s="106">
        <v>800759</v>
      </c>
      <c r="R65" s="117">
        <v>503735</v>
      </c>
      <c r="S65" s="1">
        <v>565927</v>
      </c>
      <c r="T65" s="1">
        <v>791672</v>
      </c>
      <c r="U65" s="1">
        <v>943167</v>
      </c>
    </row>
    <row r="66" spans="1:21" x14ac:dyDescent="0.2">
      <c r="A66" s="26" t="s">
        <v>4</v>
      </c>
      <c r="B66" s="1">
        <v>218220</v>
      </c>
      <c r="C66" s="1">
        <v>333670</v>
      </c>
      <c r="D66" s="1">
        <v>242150</v>
      </c>
      <c r="E66" s="1">
        <v>269422</v>
      </c>
      <c r="F66" s="1">
        <v>289166</v>
      </c>
      <c r="G66" s="1">
        <v>277226</v>
      </c>
      <c r="H66" s="2">
        <v>282745</v>
      </c>
      <c r="I66" s="2">
        <v>296427</v>
      </c>
      <c r="J66" s="2">
        <v>296020</v>
      </c>
      <c r="K66" s="2">
        <v>454289</v>
      </c>
      <c r="L66" s="113">
        <v>660597</v>
      </c>
      <c r="M66" s="106">
        <v>665390</v>
      </c>
      <c r="N66" s="106">
        <v>694641</v>
      </c>
      <c r="O66" s="106">
        <v>795796</v>
      </c>
      <c r="P66" s="106">
        <v>876859</v>
      </c>
      <c r="Q66" s="106">
        <v>909255</v>
      </c>
      <c r="R66" s="117">
        <v>120441</v>
      </c>
      <c r="S66" s="1">
        <v>610772</v>
      </c>
      <c r="T66" s="1">
        <v>757709</v>
      </c>
      <c r="U66" s="1">
        <v>845611</v>
      </c>
    </row>
    <row r="67" spans="1:21" x14ac:dyDescent="0.2">
      <c r="A67" s="26" t="s">
        <v>5</v>
      </c>
      <c r="B67" s="1">
        <v>254441.38</v>
      </c>
      <c r="C67" s="1">
        <v>254459</v>
      </c>
      <c r="D67" s="1">
        <v>281920</v>
      </c>
      <c r="E67" s="1">
        <v>297447</v>
      </c>
      <c r="F67" s="1">
        <v>289675.01</v>
      </c>
      <c r="G67" s="1">
        <v>283789</v>
      </c>
      <c r="H67" s="2">
        <v>296915</v>
      </c>
      <c r="I67" s="2">
        <v>315254</v>
      </c>
      <c r="J67" s="2">
        <v>327237</v>
      </c>
      <c r="K67" s="2">
        <v>379282</v>
      </c>
      <c r="L67" s="113">
        <v>673502</v>
      </c>
      <c r="M67" s="106">
        <v>825652</v>
      </c>
      <c r="N67" s="106">
        <v>785418</v>
      </c>
      <c r="O67" s="106">
        <v>797138</v>
      </c>
      <c r="P67" s="106">
        <v>1056641</v>
      </c>
      <c r="Q67" s="106">
        <v>906409</v>
      </c>
      <c r="R67" s="113">
        <v>-76914</v>
      </c>
      <c r="S67" s="1">
        <v>633188</v>
      </c>
      <c r="T67" s="1">
        <v>859394</v>
      </c>
      <c r="U67" s="1">
        <v>919021</v>
      </c>
    </row>
    <row r="68" spans="1:21" x14ac:dyDescent="0.2">
      <c r="A68" s="26" t="s">
        <v>6</v>
      </c>
      <c r="B68" s="1">
        <v>225987</v>
      </c>
      <c r="C68" s="1">
        <v>274489</v>
      </c>
      <c r="D68" s="1">
        <v>286734</v>
      </c>
      <c r="E68" s="1">
        <v>315620</v>
      </c>
      <c r="F68" s="1">
        <v>292972</v>
      </c>
      <c r="G68" s="1">
        <v>277050</v>
      </c>
      <c r="H68" s="2">
        <v>281292</v>
      </c>
      <c r="I68" s="2">
        <v>282713</v>
      </c>
      <c r="J68" s="2">
        <v>346330</v>
      </c>
      <c r="K68" s="2">
        <v>320204</v>
      </c>
      <c r="L68" s="113">
        <v>616879</v>
      </c>
      <c r="M68" s="106">
        <v>454952</v>
      </c>
      <c r="N68" s="106">
        <v>484747</v>
      </c>
      <c r="O68" s="106">
        <v>742678</v>
      </c>
      <c r="P68" s="106">
        <v>796525</v>
      </c>
      <c r="Q68" s="106">
        <v>825481</v>
      </c>
      <c r="R68" s="1">
        <v>524216</v>
      </c>
      <c r="S68" s="1">
        <v>888412</v>
      </c>
      <c r="T68" s="1">
        <v>893247</v>
      </c>
      <c r="U68" s="1">
        <v>952299</v>
      </c>
    </row>
    <row r="69" spans="1:21" x14ac:dyDescent="0.2">
      <c r="A69" s="26" t="s">
        <v>7</v>
      </c>
      <c r="B69" s="1">
        <v>260890</v>
      </c>
      <c r="C69" s="1">
        <v>289438</v>
      </c>
      <c r="D69" s="1">
        <v>333137</v>
      </c>
      <c r="E69" s="1">
        <v>353282</v>
      </c>
      <c r="F69" s="1">
        <v>390628</v>
      </c>
      <c r="G69" s="1">
        <v>507583</v>
      </c>
      <c r="H69" s="2">
        <v>394423</v>
      </c>
      <c r="I69" s="2">
        <v>396274</v>
      </c>
      <c r="J69" s="2">
        <v>364198</v>
      </c>
      <c r="K69" s="2">
        <v>491300</v>
      </c>
      <c r="L69" s="113">
        <v>783975</v>
      </c>
      <c r="M69" s="106">
        <v>1127521</v>
      </c>
      <c r="N69" s="106">
        <v>1068566</v>
      </c>
      <c r="O69" s="106">
        <v>998857</v>
      </c>
      <c r="P69" s="106">
        <v>1022774</v>
      </c>
      <c r="Q69" s="106">
        <v>1185304</v>
      </c>
      <c r="R69" s="1">
        <v>682729</v>
      </c>
      <c r="S69" s="1">
        <v>746092</v>
      </c>
      <c r="T69" s="1">
        <v>798923</v>
      </c>
      <c r="U69" s="1">
        <v>935157</v>
      </c>
    </row>
    <row r="70" spans="1:21" x14ac:dyDescent="0.2">
      <c r="A70" s="26" t="s">
        <v>8</v>
      </c>
      <c r="B70" s="1">
        <v>262389</v>
      </c>
      <c r="C70" s="1">
        <v>251997.38</v>
      </c>
      <c r="D70" s="1">
        <v>318952</v>
      </c>
      <c r="E70" s="1">
        <v>340215</v>
      </c>
      <c r="F70" s="1">
        <v>335582</v>
      </c>
      <c r="G70" s="1">
        <v>354264</v>
      </c>
      <c r="H70" s="2">
        <v>334149</v>
      </c>
      <c r="I70" s="2">
        <v>337342</v>
      </c>
      <c r="J70" s="2">
        <v>374510</v>
      </c>
      <c r="K70" s="2">
        <v>402853</v>
      </c>
      <c r="L70" s="113">
        <v>743254</v>
      </c>
      <c r="M70" s="106">
        <v>832614</v>
      </c>
      <c r="N70" s="106">
        <v>856839</v>
      </c>
      <c r="O70" s="106">
        <v>892061</v>
      </c>
      <c r="P70" s="106">
        <v>951557</v>
      </c>
      <c r="Q70" s="106">
        <v>953971</v>
      </c>
      <c r="R70" s="2">
        <v>567369</v>
      </c>
      <c r="S70" s="1">
        <v>752234</v>
      </c>
      <c r="T70" s="1">
        <v>878167</v>
      </c>
      <c r="U70" s="1">
        <v>968852</v>
      </c>
    </row>
    <row r="71" spans="1:21" x14ac:dyDescent="0.2">
      <c r="A71" s="26" t="s">
        <v>9</v>
      </c>
      <c r="B71" s="1">
        <v>239107</v>
      </c>
      <c r="C71" s="1">
        <v>285782</v>
      </c>
      <c r="D71" s="1">
        <v>286564</v>
      </c>
      <c r="E71" s="1">
        <v>318468</v>
      </c>
      <c r="F71" s="1">
        <v>308061</v>
      </c>
      <c r="G71" s="1">
        <v>346578</v>
      </c>
      <c r="H71" s="2">
        <v>311934</v>
      </c>
      <c r="I71" s="2">
        <v>323614</v>
      </c>
      <c r="J71" s="2">
        <v>329568</v>
      </c>
      <c r="K71" s="2">
        <v>391213</v>
      </c>
      <c r="L71" s="113">
        <v>730492</v>
      </c>
      <c r="M71" s="106">
        <v>789009</v>
      </c>
      <c r="N71" s="106">
        <v>744889</v>
      </c>
      <c r="O71" s="106">
        <v>783309</v>
      </c>
      <c r="P71" s="106">
        <v>862175</v>
      </c>
      <c r="Q71" s="106">
        <v>930403</v>
      </c>
      <c r="R71" s="1">
        <v>578689</v>
      </c>
      <c r="S71" s="1">
        <v>748714</v>
      </c>
      <c r="T71" s="1">
        <v>879500</v>
      </c>
      <c r="U71" s="1">
        <v>863489</v>
      </c>
    </row>
    <row r="72" spans="1:21" x14ac:dyDescent="0.2">
      <c r="A72" s="26" t="s">
        <v>10</v>
      </c>
      <c r="B72" s="1">
        <v>247302.58</v>
      </c>
      <c r="C72" s="1">
        <v>220259</v>
      </c>
      <c r="D72" s="1">
        <v>306029</v>
      </c>
      <c r="E72" s="1">
        <v>354962</v>
      </c>
      <c r="F72" s="1"/>
      <c r="G72" s="1">
        <v>325344</v>
      </c>
      <c r="H72" s="2">
        <v>278486</v>
      </c>
      <c r="I72" s="2">
        <v>323889</v>
      </c>
      <c r="J72" s="2">
        <v>377757</v>
      </c>
      <c r="K72" s="2">
        <v>402023</v>
      </c>
      <c r="L72" s="113">
        <v>768663</v>
      </c>
      <c r="M72" s="106">
        <v>809124</v>
      </c>
      <c r="N72" s="106">
        <v>824143</v>
      </c>
      <c r="O72" s="106">
        <v>976789</v>
      </c>
      <c r="P72" s="106">
        <v>1385542</v>
      </c>
      <c r="Q72" s="106">
        <v>1006928</v>
      </c>
      <c r="R72" s="1">
        <v>596522</v>
      </c>
      <c r="S72" s="1">
        <v>738673</v>
      </c>
      <c r="T72" s="1">
        <v>826017</v>
      </c>
      <c r="U72" s="1">
        <v>947037</v>
      </c>
    </row>
    <row r="73" spans="1:21" x14ac:dyDescent="0.2">
      <c r="A73" s="26" t="s">
        <v>11</v>
      </c>
      <c r="B73" s="39">
        <v>199118</v>
      </c>
      <c r="C73" s="39">
        <v>226057</v>
      </c>
      <c r="D73" s="39">
        <v>243875</v>
      </c>
      <c r="E73" s="39">
        <v>263450</v>
      </c>
      <c r="F73" s="39">
        <v>569194</v>
      </c>
      <c r="G73" s="39">
        <v>256647</v>
      </c>
      <c r="H73" s="40">
        <v>316636</v>
      </c>
      <c r="I73" s="40">
        <v>284826</v>
      </c>
      <c r="J73" s="40">
        <v>288250</v>
      </c>
      <c r="K73" s="40">
        <v>331872</v>
      </c>
      <c r="L73" s="40">
        <v>591215</v>
      </c>
      <c r="M73" s="40">
        <v>683654</v>
      </c>
      <c r="N73" s="40">
        <v>563353</v>
      </c>
      <c r="O73" s="40">
        <v>777655</v>
      </c>
      <c r="P73" s="40">
        <v>714515</v>
      </c>
      <c r="Q73" s="40">
        <v>807401</v>
      </c>
      <c r="R73" s="1">
        <v>413592</v>
      </c>
      <c r="S73" s="1">
        <v>631410</v>
      </c>
      <c r="T73" s="1">
        <v>695763</v>
      </c>
      <c r="U73" s="1">
        <v>772513</v>
      </c>
    </row>
    <row r="74" spans="1:21" x14ac:dyDescent="0.2">
      <c r="A74" s="25"/>
      <c r="B74" s="46">
        <f t="shared" ref="B74:H74" si="18">SUM(B62:B73)</f>
        <v>2731028.7600000002</v>
      </c>
      <c r="C74" s="46">
        <f t="shared" si="18"/>
        <v>3035190.51</v>
      </c>
      <c r="D74" s="46">
        <f t="shared" si="18"/>
        <v>3246459</v>
      </c>
      <c r="E74" s="46">
        <f t="shared" si="18"/>
        <v>3543389.44</v>
      </c>
      <c r="F74" s="46">
        <f t="shared" si="18"/>
        <v>3511984.01</v>
      </c>
      <c r="G74" s="46">
        <f t="shared" si="18"/>
        <v>3608874</v>
      </c>
      <c r="H74" s="46">
        <f t="shared" si="18"/>
        <v>3508480</v>
      </c>
      <c r="I74" s="46">
        <f t="shared" ref="I74:N74" si="19">SUM(I62:I73)</f>
        <v>3613255</v>
      </c>
      <c r="J74" s="46">
        <f t="shared" si="19"/>
        <v>3807041</v>
      </c>
      <c r="K74" s="46">
        <f t="shared" si="19"/>
        <v>4418021</v>
      </c>
      <c r="L74" s="46">
        <f t="shared" si="19"/>
        <v>7641543</v>
      </c>
      <c r="M74" s="96">
        <f t="shared" si="19"/>
        <v>8495759</v>
      </c>
      <c r="N74" s="96">
        <f t="shared" si="19"/>
        <v>8562998</v>
      </c>
      <c r="O74" s="96">
        <f t="shared" ref="O74:P74" si="20">SUM(O62:O73)</f>
        <v>9432216</v>
      </c>
      <c r="P74" s="96">
        <f t="shared" si="20"/>
        <v>10497643</v>
      </c>
      <c r="Q74" s="96">
        <f t="shared" ref="Q74:S74" si="21">SUM(Q62:Q73)</f>
        <v>10440920</v>
      </c>
      <c r="R74" s="126">
        <f t="shared" ref="R74" si="22">SUM(R62:R73)</f>
        <v>6160729</v>
      </c>
      <c r="S74" s="126">
        <f t="shared" si="21"/>
        <v>7592326</v>
      </c>
      <c r="T74" s="126">
        <f t="shared" ref="T74:U74" si="23">SUM(T62:T73)</f>
        <v>9331377</v>
      </c>
      <c r="U74" s="126">
        <f t="shared" si="23"/>
        <v>10299186</v>
      </c>
    </row>
    <row r="75" spans="1:21" x14ac:dyDescent="0.2">
      <c r="A75" s="25"/>
      <c r="B75" s="11"/>
      <c r="G75" s="2"/>
    </row>
    <row r="76" spans="1:21" x14ac:dyDescent="0.2">
      <c r="A76" s="25"/>
      <c r="B76" s="15"/>
      <c r="G76" s="2"/>
    </row>
    <row r="77" spans="1:21" x14ac:dyDescent="0.2">
      <c r="A77" s="25"/>
      <c r="G77" s="2"/>
    </row>
    <row r="78" spans="1:21" x14ac:dyDescent="0.2">
      <c r="A78" s="25"/>
      <c r="G78" s="2"/>
    </row>
    <row r="79" spans="1:21" x14ac:dyDescent="0.2">
      <c r="A79" s="25"/>
      <c r="G79" s="2"/>
    </row>
    <row r="80" spans="1:21" x14ac:dyDescent="0.2">
      <c r="A80" s="25"/>
      <c r="G80" s="2"/>
    </row>
    <row r="81" spans="1:7" x14ac:dyDescent="0.2">
      <c r="A81" s="25"/>
      <c r="G81" s="2"/>
    </row>
    <row r="82" spans="1:7" x14ac:dyDescent="0.2">
      <c r="A82" s="25"/>
      <c r="G82" s="2"/>
    </row>
    <row r="83" spans="1:7" x14ac:dyDescent="0.2">
      <c r="A83" s="25"/>
      <c r="G83" s="2"/>
    </row>
    <row r="84" spans="1:7" x14ac:dyDescent="0.2">
      <c r="A84" s="25"/>
      <c r="G84" s="2"/>
    </row>
    <row r="85" spans="1:7" x14ac:dyDescent="0.2">
      <c r="A85" s="25"/>
      <c r="G85" s="2"/>
    </row>
    <row r="86" spans="1:7" x14ac:dyDescent="0.2">
      <c r="A86" s="25"/>
      <c r="G86" s="2"/>
    </row>
    <row r="87" spans="1:7" x14ac:dyDescent="0.2">
      <c r="A87" s="25"/>
      <c r="G87" s="2"/>
    </row>
    <row r="88" spans="1:7" x14ac:dyDescent="0.2">
      <c r="A88" s="25"/>
      <c r="G88" s="2"/>
    </row>
    <row r="89" spans="1:7" x14ac:dyDescent="0.2">
      <c r="A89" s="25"/>
      <c r="G89" s="2"/>
    </row>
    <row r="90" spans="1:7" x14ac:dyDescent="0.2">
      <c r="A90" s="25"/>
      <c r="G90" s="2"/>
    </row>
    <row r="91" spans="1:7" x14ac:dyDescent="0.2">
      <c r="A91" s="25"/>
      <c r="G91" s="2"/>
    </row>
    <row r="92" spans="1:7" x14ac:dyDescent="0.2">
      <c r="A92" s="25"/>
      <c r="G92" s="2"/>
    </row>
    <row r="93" spans="1:7" x14ac:dyDescent="0.2">
      <c r="A93" s="25"/>
      <c r="G93" s="2"/>
    </row>
    <row r="94" spans="1:7" x14ac:dyDescent="0.2">
      <c r="A94" s="25"/>
      <c r="G94" s="2"/>
    </row>
    <row r="95" spans="1:7" x14ac:dyDescent="0.2">
      <c r="A95" s="25"/>
      <c r="G95" s="2"/>
    </row>
    <row r="96" spans="1:7" x14ac:dyDescent="0.2">
      <c r="A96" s="25"/>
      <c r="G96" s="2"/>
    </row>
    <row r="97" spans="1:7" x14ac:dyDescent="0.2">
      <c r="A97" s="25"/>
      <c r="G97" s="2"/>
    </row>
    <row r="98" spans="1:7" x14ac:dyDescent="0.2">
      <c r="A98" s="25"/>
      <c r="G98" s="2"/>
    </row>
    <row r="99" spans="1:7" x14ac:dyDescent="0.2">
      <c r="A99" s="25"/>
      <c r="G99" s="2"/>
    </row>
    <row r="100" spans="1:7" x14ac:dyDescent="0.2">
      <c r="A100" s="25"/>
      <c r="G100" s="2"/>
    </row>
    <row r="101" spans="1:7" x14ac:dyDescent="0.2">
      <c r="A101" s="25"/>
    </row>
    <row r="102" spans="1:7" x14ac:dyDescent="0.2">
      <c r="A102" s="25"/>
    </row>
    <row r="103" spans="1:7" x14ac:dyDescent="0.2">
      <c r="A103" s="25"/>
    </row>
    <row r="104" spans="1:7" x14ac:dyDescent="0.2">
      <c r="A104" s="25"/>
    </row>
    <row r="105" spans="1:7" x14ac:dyDescent="0.2">
      <c r="A105" s="25"/>
    </row>
    <row r="106" spans="1:7" x14ac:dyDescent="0.2">
      <c r="A106" s="25"/>
    </row>
    <row r="107" spans="1:7" x14ac:dyDescent="0.2">
      <c r="A107" s="25"/>
    </row>
    <row r="108" spans="1:7" x14ac:dyDescent="0.2">
      <c r="A108" s="25"/>
    </row>
    <row r="109" spans="1:7" x14ac:dyDescent="0.2">
      <c r="A109" s="25"/>
    </row>
    <row r="110" spans="1:7" x14ac:dyDescent="0.2">
      <c r="A110" s="25"/>
    </row>
    <row r="111" spans="1:7" x14ac:dyDescent="0.2">
      <c r="A111" s="25"/>
    </row>
    <row r="112" spans="1:7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  <row r="137" spans="1:1" x14ac:dyDescent="0.2">
      <c r="A137" s="25"/>
    </row>
    <row r="138" spans="1:1" x14ac:dyDescent="0.2">
      <c r="A138" s="25"/>
    </row>
    <row r="139" spans="1:1" x14ac:dyDescent="0.2">
      <c r="A139" s="25"/>
    </row>
    <row r="140" spans="1:1" x14ac:dyDescent="0.2">
      <c r="A140" s="25"/>
    </row>
    <row r="141" spans="1:1" x14ac:dyDescent="0.2">
      <c r="A141" s="25"/>
    </row>
    <row r="142" spans="1:1" x14ac:dyDescent="0.2">
      <c r="A142" s="25"/>
    </row>
    <row r="143" spans="1:1" x14ac:dyDescent="0.2">
      <c r="A143" s="25"/>
    </row>
    <row r="144" spans="1:1" x14ac:dyDescent="0.2">
      <c r="A144" s="25"/>
    </row>
    <row r="145" spans="1:1" x14ac:dyDescent="0.2">
      <c r="A145" s="25"/>
    </row>
    <row r="146" spans="1:1" x14ac:dyDescent="0.2">
      <c r="A146" s="25"/>
    </row>
    <row r="147" spans="1:1" x14ac:dyDescent="0.2">
      <c r="A147" s="25"/>
    </row>
    <row r="148" spans="1:1" x14ac:dyDescent="0.2">
      <c r="A148" s="25"/>
    </row>
    <row r="149" spans="1:1" x14ac:dyDescent="0.2">
      <c r="A149" s="25"/>
    </row>
    <row r="150" spans="1:1" x14ac:dyDescent="0.2">
      <c r="A150" s="25"/>
    </row>
    <row r="151" spans="1:1" x14ac:dyDescent="0.2">
      <c r="A151" s="25"/>
    </row>
    <row r="152" spans="1:1" x14ac:dyDescent="0.2">
      <c r="A152" s="25"/>
    </row>
    <row r="153" spans="1:1" x14ac:dyDescent="0.2">
      <c r="A153" s="25"/>
    </row>
    <row r="154" spans="1:1" x14ac:dyDescent="0.2">
      <c r="A154" s="25"/>
    </row>
    <row r="155" spans="1:1" x14ac:dyDescent="0.2">
      <c r="A155" s="25"/>
    </row>
    <row r="156" spans="1:1" x14ac:dyDescent="0.2">
      <c r="A156" s="25"/>
    </row>
    <row r="157" spans="1:1" x14ac:dyDescent="0.2">
      <c r="A157" s="25"/>
    </row>
    <row r="158" spans="1:1" x14ac:dyDescent="0.2">
      <c r="A158" s="25"/>
    </row>
    <row r="159" spans="1:1" x14ac:dyDescent="0.2">
      <c r="A159" s="25"/>
    </row>
    <row r="160" spans="1:1" x14ac:dyDescent="0.2">
      <c r="A160" s="25"/>
    </row>
    <row r="161" spans="1:1" x14ac:dyDescent="0.2">
      <c r="A161" s="25"/>
    </row>
    <row r="162" spans="1:1" x14ac:dyDescent="0.2">
      <c r="A162" s="25"/>
    </row>
    <row r="163" spans="1:1" x14ac:dyDescent="0.2">
      <c r="A163" s="25"/>
    </row>
    <row r="164" spans="1:1" x14ac:dyDescent="0.2">
      <c r="A164" s="25"/>
    </row>
    <row r="165" spans="1:1" x14ac:dyDescent="0.2">
      <c r="A165" s="25"/>
    </row>
    <row r="166" spans="1:1" x14ac:dyDescent="0.2">
      <c r="A166" s="25"/>
    </row>
    <row r="167" spans="1:1" x14ac:dyDescent="0.2">
      <c r="A167" s="25"/>
    </row>
    <row r="168" spans="1:1" x14ac:dyDescent="0.2">
      <c r="A168" s="25"/>
    </row>
    <row r="169" spans="1:1" x14ac:dyDescent="0.2">
      <c r="A169" s="25"/>
    </row>
    <row r="170" spans="1:1" x14ac:dyDescent="0.2">
      <c r="A170" s="25"/>
    </row>
    <row r="171" spans="1:1" x14ac:dyDescent="0.2">
      <c r="A171" s="25"/>
    </row>
    <row r="172" spans="1:1" x14ac:dyDescent="0.2">
      <c r="A172" s="25"/>
    </row>
    <row r="173" spans="1:1" x14ac:dyDescent="0.2">
      <c r="A173" s="25"/>
    </row>
    <row r="174" spans="1:1" x14ac:dyDescent="0.2">
      <c r="A174" s="25"/>
    </row>
    <row r="175" spans="1:1" x14ac:dyDescent="0.2">
      <c r="A175" s="25"/>
    </row>
    <row r="176" spans="1:1" x14ac:dyDescent="0.2">
      <c r="A176" s="25"/>
    </row>
    <row r="177" spans="1:1" x14ac:dyDescent="0.2">
      <c r="A177" s="25"/>
    </row>
    <row r="178" spans="1:1" x14ac:dyDescent="0.2">
      <c r="A178" s="25"/>
    </row>
    <row r="179" spans="1:1" x14ac:dyDescent="0.2">
      <c r="A179" s="25"/>
    </row>
    <row r="180" spans="1:1" x14ac:dyDescent="0.2">
      <c r="A180" s="25"/>
    </row>
    <row r="181" spans="1:1" x14ac:dyDescent="0.2">
      <c r="A181" s="25"/>
    </row>
    <row r="182" spans="1:1" x14ac:dyDescent="0.2">
      <c r="A182" s="25"/>
    </row>
    <row r="183" spans="1:1" x14ac:dyDescent="0.2">
      <c r="A183" s="25"/>
    </row>
    <row r="184" spans="1:1" x14ac:dyDescent="0.2">
      <c r="A184" s="25"/>
    </row>
    <row r="185" spans="1:1" x14ac:dyDescent="0.2">
      <c r="A185" s="25"/>
    </row>
    <row r="186" spans="1:1" x14ac:dyDescent="0.2">
      <c r="A186" s="25"/>
    </row>
    <row r="187" spans="1:1" x14ac:dyDescent="0.2">
      <c r="A187" s="25"/>
    </row>
    <row r="188" spans="1:1" x14ac:dyDescent="0.2">
      <c r="A188" s="25"/>
    </row>
    <row r="189" spans="1:1" x14ac:dyDescent="0.2">
      <c r="A189" s="25"/>
    </row>
    <row r="190" spans="1:1" x14ac:dyDescent="0.2">
      <c r="A190" s="25"/>
    </row>
    <row r="191" spans="1:1" x14ac:dyDescent="0.2">
      <c r="A191" s="25"/>
    </row>
    <row r="192" spans="1:1" x14ac:dyDescent="0.2">
      <c r="A192" s="25"/>
    </row>
    <row r="193" spans="1:1" x14ac:dyDescent="0.2">
      <c r="A193" s="25"/>
    </row>
    <row r="194" spans="1:1" x14ac:dyDescent="0.2">
      <c r="A194" s="25"/>
    </row>
    <row r="195" spans="1:1" x14ac:dyDescent="0.2">
      <c r="A195" s="25"/>
    </row>
    <row r="196" spans="1:1" x14ac:dyDescent="0.2">
      <c r="A196" s="25"/>
    </row>
    <row r="197" spans="1:1" x14ac:dyDescent="0.2">
      <c r="A197" s="25"/>
    </row>
    <row r="198" spans="1:1" x14ac:dyDescent="0.2">
      <c r="A198" s="25"/>
    </row>
    <row r="199" spans="1:1" x14ac:dyDescent="0.2">
      <c r="A199" s="25"/>
    </row>
    <row r="200" spans="1:1" x14ac:dyDescent="0.2">
      <c r="A200" s="25"/>
    </row>
    <row r="201" spans="1:1" x14ac:dyDescent="0.2">
      <c r="A201" s="25"/>
    </row>
    <row r="202" spans="1:1" x14ac:dyDescent="0.2">
      <c r="A202" s="25"/>
    </row>
    <row r="203" spans="1:1" x14ac:dyDescent="0.2">
      <c r="A203" s="25"/>
    </row>
    <row r="204" spans="1:1" x14ac:dyDescent="0.2">
      <c r="A204" s="25"/>
    </row>
    <row r="205" spans="1:1" x14ac:dyDescent="0.2">
      <c r="A205" s="25"/>
    </row>
    <row r="206" spans="1:1" x14ac:dyDescent="0.2">
      <c r="A206" s="25"/>
    </row>
    <row r="207" spans="1:1" x14ac:dyDescent="0.2">
      <c r="A207" s="25"/>
    </row>
    <row r="208" spans="1:1" x14ac:dyDescent="0.2">
      <c r="A208" s="25"/>
    </row>
    <row r="209" spans="1:1" x14ac:dyDescent="0.2">
      <c r="A209" s="25"/>
    </row>
    <row r="210" spans="1:1" x14ac:dyDescent="0.2">
      <c r="A210" s="25"/>
    </row>
    <row r="211" spans="1:1" x14ac:dyDescent="0.2">
      <c r="A211" s="25"/>
    </row>
    <row r="212" spans="1:1" x14ac:dyDescent="0.2">
      <c r="A212" s="25"/>
    </row>
    <row r="213" spans="1:1" x14ac:dyDescent="0.2">
      <c r="A213" s="25"/>
    </row>
    <row r="214" spans="1:1" x14ac:dyDescent="0.2">
      <c r="A214" s="25"/>
    </row>
    <row r="215" spans="1:1" x14ac:dyDescent="0.2">
      <c r="A215" s="25"/>
    </row>
    <row r="216" spans="1:1" x14ac:dyDescent="0.2">
      <c r="A216" s="25"/>
    </row>
    <row r="217" spans="1:1" x14ac:dyDescent="0.2">
      <c r="A217" s="25"/>
    </row>
    <row r="218" spans="1:1" x14ac:dyDescent="0.2">
      <c r="A218" s="25"/>
    </row>
    <row r="219" spans="1:1" x14ac:dyDescent="0.2">
      <c r="A219" s="25"/>
    </row>
    <row r="220" spans="1:1" x14ac:dyDescent="0.2">
      <c r="A220" s="25"/>
    </row>
    <row r="221" spans="1:1" x14ac:dyDescent="0.2">
      <c r="A221" s="25"/>
    </row>
    <row r="222" spans="1:1" x14ac:dyDescent="0.2">
      <c r="A222" s="25"/>
    </row>
    <row r="223" spans="1:1" x14ac:dyDescent="0.2">
      <c r="A223" s="25"/>
    </row>
    <row r="224" spans="1:1" x14ac:dyDescent="0.2">
      <c r="A224" s="25"/>
    </row>
    <row r="225" spans="1:1" x14ac:dyDescent="0.2">
      <c r="A225" s="25"/>
    </row>
    <row r="226" spans="1:1" x14ac:dyDescent="0.2">
      <c r="A226" s="25"/>
    </row>
    <row r="227" spans="1:1" x14ac:dyDescent="0.2">
      <c r="A227" s="25"/>
    </row>
    <row r="228" spans="1:1" x14ac:dyDescent="0.2">
      <c r="A228" s="25"/>
    </row>
    <row r="229" spans="1:1" x14ac:dyDescent="0.2">
      <c r="A229" s="25"/>
    </row>
    <row r="230" spans="1:1" x14ac:dyDescent="0.2">
      <c r="A230" s="25"/>
    </row>
    <row r="231" spans="1:1" x14ac:dyDescent="0.2">
      <c r="A231" s="25"/>
    </row>
    <row r="232" spans="1:1" x14ac:dyDescent="0.2">
      <c r="A232" s="25"/>
    </row>
    <row r="233" spans="1:1" x14ac:dyDescent="0.2">
      <c r="A233" s="25"/>
    </row>
    <row r="234" spans="1:1" x14ac:dyDescent="0.2">
      <c r="A234" s="25"/>
    </row>
    <row r="235" spans="1:1" x14ac:dyDescent="0.2">
      <c r="A235" s="25"/>
    </row>
    <row r="236" spans="1:1" x14ac:dyDescent="0.2">
      <c r="A236" s="25"/>
    </row>
    <row r="237" spans="1:1" x14ac:dyDescent="0.2">
      <c r="A237" s="25"/>
    </row>
    <row r="238" spans="1:1" x14ac:dyDescent="0.2">
      <c r="A238" s="25"/>
    </row>
    <row r="239" spans="1:1" x14ac:dyDescent="0.2">
      <c r="A239" s="25"/>
    </row>
    <row r="240" spans="1:1" x14ac:dyDescent="0.2">
      <c r="A240" s="25"/>
    </row>
    <row r="241" spans="1:1" x14ac:dyDescent="0.2">
      <c r="A241" s="25"/>
    </row>
    <row r="242" spans="1:1" x14ac:dyDescent="0.2">
      <c r="A242" s="25"/>
    </row>
    <row r="243" spans="1:1" x14ac:dyDescent="0.2">
      <c r="A243" s="25"/>
    </row>
    <row r="244" spans="1:1" x14ac:dyDescent="0.2">
      <c r="A244" s="25"/>
    </row>
    <row r="245" spans="1:1" x14ac:dyDescent="0.2">
      <c r="A245" s="25"/>
    </row>
    <row r="246" spans="1:1" x14ac:dyDescent="0.2">
      <c r="A246" s="25"/>
    </row>
    <row r="247" spans="1:1" x14ac:dyDescent="0.2">
      <c r="A247" s="25"/>
    </row>
    <row r="248" spans="1:1" x14ac:dyDescent="0.2">
      <c r="A248" s="25"/>
    </row>
    <row r="249" spans="1:1" x14ac:dyDescent="0.2">
      <c r="A249" s="25"/>
    </row>
    <row r="250" spans="1:1" x14ac:dyDescent="0.2">
      <c r="A250" s="25"/>
    </row>
    <row r="251" spans="1:1" x14ac:dyDescent="0.2">
      <c r="A251" s="25"/>
    </row>
    <row r="252" spans="1:1" x14ac:dyDescent="0.2">
      <c r="A252" s="25"/>
    </row>
    <row r="253" spans="1:1" x14ac:dyDescent="0.2">
      <c r="A253" s="25"/>
    </row>
    <row r="254" spans="1:1" x14ac:dyDescent="0.2">
      <c r="A254" s="25"/>
    </row>
    <row r="255" spans="1:1" x14ac:dyDescent="0.2">
      <c r="A255" s="25"/>
    </row>
    <row r="256" spans="1:1" x14ac:dyDescent="0.2">
      <c r="A256" s="25"/>
    </row>
    <row r="257" spans="1:1" x14ac:dyDescent="0.2">
      <c r="A257" s="25"/>
    </row>
    <row r="258" spans="1:1" x14ac:dyDescent="0.2">
      <c r="A258" s="25"/>
    </row>
    <row r="259" spans="1:1" x14ac:dyDescent="0.2">
      <c r="A259" s="25"/>
    </row>
    <row r="260" spans="1:1" x14ac:dyDescent="0.2">
      <c r="A260" s="25"/>
    </row>
    <row r="261" spans="1:1" x14ac:dyDescent="0.2">
      <c r="A261" s="25"/>
    </row>
    <row r="262" spans="1:1" x14ac:dyDescent="0.2">
      <c r="A262" s="25"/>
    </row>
    <row r="263" spans="1:1" x14ac:dyDescent="0.2">
      <c r="A263" s="25"/>
    </row>
    <row r="264" spans="1:1" x14ac:dyDescent="0.2">
      <c r="A264" s="25"/>
    </row>
    <row r="265" spans="1:1" x14ac:dyDescent="0.2">
      <c r="A265" s="25"/>
    </row>
    <row r="266" spans="1:1" x14ac:dyDescent="0.2">
      <c r="A266" s="25"/>
    </row>
    <row r="267" spans="1:1" x14ac:dyDescent="0.2">
      <c r="A267" s="25"/>
    </row>
    <row r="268" spans="1:1" x14ac:dyDescent="0.2">
      <c r="A268" s="25"/>
    </row>
  </sheetData>
  <phoneticPr fontId="4" type="noConversion"/>
  <pageMargins left="0.2" right="0.2" top="0.46" bottom="0.25" header="0.18" footer="0.16"/>
  <pageSetup scale="82" orientation="landscape" r:id="rId1"/>
  <headerFooter alignWithMargins="0">
    <oddHeader>&amp;A</oddHeader>
  </headerFooter>
  <rowBreaks count="1" manualBreakCount="1">
    <brk id="39" max="16383" man="1"/>
  </row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1" width="10.140625" bestFit="1" customWidth="1"/>
    <col min="12" max="21" width="10.7109375" bestFit="1" customWidth="1"/>
  </cols>
  <sheetData>
    <row r="2" spans="1:21" x14ac:dyDescent="0.2">
      <c r="A2" s="24" t="s">
        <v>134</v>
      </c>
      <c r="B2" s="148">
        <v>5.0000000000000001E-3</v>
      </c>
      <c r="D2" s="94" t="s">
        <v>203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112044</v>
      </c>
      <c r="L5" s="104">
        <v>108702</v>
      </c>
      <c r="M5" s="117">
        <v>114414</v>
      </c>
      <c r="N5" s="117">
        <v>123973</v>
      </c>
      <c r="O5" s="117">
        <v>128919</v>
      </c>
      <c r="P5" s="117">
        <v>131404</v>
      </c>
      <c r="Q5" s="117">
        <v>132547</v>
      </c>
      <c r="R5" s="1">
        <v>132797</v>
      </c>
      <c r="S5" s="1">
        <v>139637</v>
      </c>
      <c r="T5" s="1">
        <v>145617</v>
      </c>
      <c r="U5" s="1">
        <v>171619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72944</v>
      </c>
      <c r="K6" s="2">
        <v>86084</v>
      </c>
      <c r="L6" s="104">
        <v>97875</v>
      </c>
      <c r="M6" s="117">
        <v>94735</v>
      </c>
      <c r="N6" s="117">
        <v>87852</v>
      </c>
      <c r="O6" s="117">
        <v>90965</v>
      </c>
      <c r="P6" s="117">
        <v>95248</v>
      </c>
      <c r="Q6" s="117">
        <v>99926</v>
      </c>
      <c r="R6" s="1">
        <v>104054</v>
      </c>
      <c r="S6" s="1">
        <v>117640</v>
      </c>
      <c r="T6" s="1">
        <v>118922</v>
      </c>
      <c r="U6" s="1">
        <v>123313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80547</v>
      </c>
      <c r="K7" s="2">
        <v>76905</v>
      </c>
      <c r="L7" s="105">
        <v>78061</v>
      </c>
      <c r="M7" s="117">
        <v>94263</v>
      </c>
      <c r="N7" s="117">
        <v>85793</v>
      </c>
      <c r="O7" s="117">
        <v>87738</v>
      </c>
      <c r="P7" s="117">
        <v>91199</v>
      </c>
      <c r="Q7" s="117">
        <v>90607</v>
      </c>
      <c r="R7" s="1">
        <v>107595</v>
      </c>
      <c r="S7" s="1">
        <v>112440</v>
      </c>
      <c r="T7" s="1">
        <v>128834</v>
      </c>
      <c r="U7" s="1">
        <v>125828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94315</v>
      </c>
      <c r="K8" s="2">
        <v>88885</v>
      </c>
      <c r="L8" s="104">
        <v>96461</v>
      </c>
      <c r="M8" s="117">
        <v>100802</v>
      </c>
      <c r="N8" s="117">
        <v>106983</v>
      </c>
      <c r="O8" s="117">
        <v>101641</v>
      </c>
      <c r="P8" s="117">
        <v>112644</v>
      </c>
      <c r="Q8" s="117">
        <v>112763</v>
      </c>
      <c r="R8" s="1">
        <v>112495</v>
      </c>
      <c r="S8" s="1">
        <v>147180</v>
      </c>
      <c r="T8" s="1">
        <v>140987</v>
      </c>
      <c r="U8" s="1">
        <v>153300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87101</v>
      </c>
      <c r="K9" s="2">
        <v>87692</v>
      </c>
      <c r="L9" s="104">
        <v>93587</v>
      </c>
      <c r="M9" s="117">
        <v>103622</v>
      </c>
      <c r="N9" s="117">
        <v>104502</v>
      </c>
      <c r="O9" s="117">
        <v>104801</v>
      </c>
      <c r="P9" s="117">
        <v>112675</v>
      </c>
      <c r="Q9" s="117">
        <v>117035</v>
      </c>
      <c r="R9" s="1">
        <v>125253</v>
      </c>
      <c r="S9" s="1">
        <v>134005</v>
      </c>
      <c r="T9" s="1">
        <v>141551</v>
      </c>
      <c r="U9" s="1">
        <v>156011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79969</v>
      </c>
      <c r="K10" s="2">
        <v>103059</v>
      </c>
      <c r="L10" s="104">
        <v>105288</v>
      </c>
      <c r="M10" s="117">
        <v>111476</v>
      </c>
      <c r="N10" s="117">
        <v>112087</v>
      </c>
      <c r="O10" s="117">
        <v>122016</v>
      </c>
      <c r="P10" s="117">
        <v>127148</v>
      </c>
      <c r="Q10" s="117">
        <v>127044</v>
      </c>
      <c r="R10" s="1">
        <v>142430</v>
      </c>
      <c r="S10" s="1">
        <v>141257</v>
      </c>
      <c r="T10" s="1">
        <v>195971</v>
      </c>
      <c r="U10" s="1">
        <v>165323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97328</v>
      </c>
      <c r="K11" s="2">
        <v>79032</v>
      </c>
      <c r="L11" s="104">
        <v>103581</v>
      </c>
      <c r="M11" s="117">
        <v>105878</v>
      </c>
      <c r="N11" s="117">
        <v>91465</v>
      </c>
      <c r="O11" s="117">
        <v>109240</v>
      </c>
      <c r="P11" s="117">
        <v>105523</v>
      </c>
      <c r="Q11" s="117">
        <v>121876</v>
      </c>
      <c r="R11" s="1">
        <v>112660</v>
      </c>
      <c r="S11" s="1">
        <v>149791</v>
      </c>
      <c r="T11" s="1">
        <v>155877</v>
      </c>
      <c r="U11" s="1">
        <v>177478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110900</v>
      </c>
      <c r="K12" s="2">
        <v>110338</v>
      </c>
      <c r="L12" s="104">
        <v>107243</v>
      </c>
      <c r="M12" s="117">
        <v>134540</v>
      </c>
      <c r="N12" s="117">
        <v>130936</v>
      </c>
      <c r="O12" s="117">
        <v>141849</v>
      </c>
      <c r="P12" s="117">
        <v>146391</v>
      </c>
      <c r="Q12" s="117">
        <v>131987</v>
      </c>
      <c r="R12" s="1">
        <v>160087</v>
      </c>
      <c r="S12" s="1">
        <v>149589</v>
      </c>
      <c r="T12" s="1">
        <v>158216</v>
      </c>
      <c r="U12" s="1">
        <v>148828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98142</v>
      </c>
      <c r="K13" s="2">
        <v>102958</v>
      </c>
      <c r="L13" s="104">
        <v>104041</v>
      </c>
      <c r="M13" s="117">
        <v>105546</v>
      </c>
      <c r="N13" s="117">
        <v>111107</v>
      </c>
      <c r="O13" s="117">
        <v>118511</v>
      </c>
      <c r="P13" s="117">
        <v>124536</v>
      </c>
      <c r="Q13" s="117">
        <v>126172</v>
      </c>
      <c r="R13" s="2">
        <v>129859</v>
      </c>
      <c r="S13" s="1">
        <v>130745</v>
      </c>
      <c r="T13" s="1">
        <v>151858</v>
      </c>
      <c r="U13" s="1">
        <v>152085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88465</v>
      </c>
      <c r="K14" s="2">
        <v>101025</v>
      </c>
      <c r="L14" s="104">
        <v>107124</v>
      </c>
      <c r="M14" s="117">
        <v>107817</v>
      </c>
      <c r="N14" s="117">
        <v>109358</v>
      </c>
      <c r="O14" s="117">
        <v>120337</v>
      </c>
      <c r="P14" s="117">
        <v>115892</v>
      </c>
      <c r="Q14" s="117">
        <v>125622</v>
      </c>
      <c r="R14" s="1">
        <v>129923</v>
      </c>
      <c r="S14" s="1">
        <v>145798</v>
      </c>
      <c r="T14" s="1">
        <v>152387</v>
      </c>
      <c r="U14" s="1">
        <v>159740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89529</v>
      </c>
      <c r="K15" s="2">
        <v>90882</v>
      </c>
      <c r="L15" s="104">
        <v>94203</v>
      </c>
      <c r="M15" s="117">
        <v>99389</v>
      </c>
      <c r="N15" s="117">
        <v>102804</v>
      </c>
      <c r="O15" s="117">
        <v>108745</v>
      </c>
      <c r="P15" s="117">
        <v>119461</v>
      </c>
      <c r="Q15" s="117">
        <v>121990</v>
      </c>
      <c r="R15" s="1">
        <v>126266</v>
      </c>
      <c r="S15" s="1">
        <v>130536</v>
      </c>
      <c r="T15" s="1">
        <v>145710</v>
      </c>
      <c r="U15" s="1">
        <v>145755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103968</v>
      </c>
      <c r="K16" s="40">
        <v>106010</v>
      </c>
      <c r="L16" s="95">
        <v>106465</v>
      </c>
      <c r="M16" s="95">
        <v>104378</v>
      </c>
      <c r="N16" s="95">
        <v>112891</v>
      </c>
      <c r="O16" s="95">
        <v>115803</v>
      </c>
      <c r="P16" s="95">
        <v>124702</v>
      </c>
      <c r="Q16" s="95">
        <v>121963</v>
      </c>
      <c r="R16" s="1">
        <v>128601</v>
      </c>
      <c r="S16" s="1">
        <v>117934</v>
      </c>
      <c r="T16" s="1">
        <v>193655</v>
      </c>
      <c r="U16" s="1">
        <v>148104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1003208</v>
      </c>
      <c r="K17" s="44">
        <f t="shared" si="0"/>
        <v>1144914</v>
      </c>
      <c r="L17" s="96">
        <f t="shared" si="0"/>
        <v>1202631</v>
      </c>
      <c r="M17" s="96">
        <f t="shared" ref="M17:Q17" si="1">SUM(M5:M16)</f>
        <v>1276860</v>
      </c>
      <c r="N17" s="96">
        <f t="shared" si="1"/>
        <v>1279751</v>
      </c>
      <c r="O17" s="96">
        <f t="shared" si="1"/>
        <v>1350565</v>
      </c>
      <c r="P17" s="96">
        <f t="shared" si="1"/>
        <v>1406823</v>
      </c>
      <c r="Q17" s="96">
        <f t="shared" si="1"/>
        <v>1429532</v>
      </c>
      <c r="R17" s="126">
        <f t="shared" ref="R17:S17" si="2">SUM(R5:R16)</f>
        <v>1512020</v>
      </c>
      <c r="S17" s="126">
        <f t="shared" si="2"/>
        <v>1616552</v>
      </c>
      <c r="T17" s="126">
        <f t="shared" ref="T17:U17" si="3">SUM(T5:T16)</f>
        <v>1829585</v>
      </c>
      <c r="U17" s="126">
        <f t="shared" si="3"/>
        <v>1827384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</row>
    <row r="20" spans="1:21" x14ac:dyDescent="0.2">
      <c r="H20" s="2"/>
      <c r="L20" s="94"/>
    </row>
    <row r="21" spans="1:21" x14ac:dyDescent="0.2">
      <c r="A21" s="24" t="s">
        <v>135</v>
      </c>
      <c r="B21" s="148">
        <v>5.0000000000000001E-3</v>
      </c>
      <c r="D21" s="94" t="s">
        <v>203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23003</v>
      </c>
      <c r="L24" s="104">
        <v>23128</v>
      </c>
      <c r="M24" s="117">
        <v>32515</v>
      </c>
      <c r="N24" s="117">
        <v>8576</v>
      </c>
      <c r="O24" s="117">
        <v>7944</v>
      </c>
      <c r="P24" s="117">
        <v>6346</v>
      </c>
      <c r="Q24" s="117">
        <v>7827</v>
      </c>
      <c r="R24" s="1">
        <v>11610</v>
      </c>
      <c r="S24" s="1">
        <v>10097</v>
      </c>
      <c r="T24" s="1">
        <v>15705</v>
      </c>
      <c r="U24" s="1">
        <v>13432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13422</v>
      </c>
      <c r="K25" s="2">
        <v>18178</v>
      </c>
      <c r="L25" s="104">
        <v>21751</v>
      </c>
      <c r="M25" s="117">
        <v>23300</v>
      </c>
      <c r="N25" s="117">
        <v>5278</v>
      </c>
      <c r="O25" s="117">
        <v>7371</v>
      </c>
      <c r="P25" s="117">
        <v>2140</v>
      </c>
      <c r="Q25" s="117">
        <v>11679</v>
      </c>
      <c r="R25" s="1">
        <v>5308</v>
      </c>
      <c r="S25" s="1">
        <v>8965</v>
      </c>
      <c r="T25" s="1">
        <v>12983</v>
      </c>
      <c r="U25" s="1">
        <v>8028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15076</v>
      </c>
      <c r="K26" s="2">
        <v>23640</v>
      </c>
      <c r="L26" s="104">
        <v>23785</v>
      </c>
      <c r="M26" s="117">
        <v>12250</v>
      </c>
      <c r="N26" s="117">
        <v>5137</v>
      </c>
      <c r="O26" s="117">
        <v>7243</v>
      </c>
      <c r="P26" s="117">
        <v>7039</v>
      </c>
      <c r="Q26" s="117">
        <v>-779</v>
      </c>
      <c r="R26" s="113">
        <v>7336</v>
      </c>
      <c r="S26" s="1">
        <v>-2403</v>
      </c>
      <c r="T26" s="1">
        <v>8530</v>
      </c>
      <c r="U26" s="1">
        <v>9786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16318</v>
      </c>
      <c r="K27" s="2">
        <v>23594</v>
      </c>
      <c r="L27" s="104">
        <v>26072</v>
      </c>
      <c r="M27" s="117">
        <v>14249</v>
      </c>
      <c r="N27" s="117">
        <v>7045</v>
      </c>
      <c r="O27" s="117">
        <v>10797</v>
      </c>
      <c r="P27" s="117">
        <v>8463</v>
      </c>
      <c r="Q27" s="117">
        <v>10366</v>
      </c>
      <c r="R27" s="1">
        <v>8246</v>
      </c>
      <c r="S27" s="1">
        <v>22042</v>
      </c>
      <c r="T27" s="1">
        <v>9447</v>
      </c>
      <c r="U27" s="1">
        <v>10840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18007</v>
      </c>
      <c r="K28" s="2">
        <v>24885</v>
      </c>
      <c r="L28" s="104">
        <v>24290</v>
      </c>
      <c r="M28" s="117">
        <v>21899</v>
      </c>
      <c r="N28" s="117">
        <v>4867</v>
      </c>
      <c r="O28" s="117">
        <v>11587</v>
      </c>
      <c r="P28" s="117">
        <v>7880</v>
      </c>
      <c r="Q28" s="117">
        <v>20298</v>
      </c>
      <c r="R28" s="1">
        <v>12294</v>
      </c>
      <c r="S28" s="1">
        <v>9797</v>
      </c>
      <c r="T28" s="1">
        <v>8745</v>
      </c>
      <c r="U28" s="1">
        <v>-28112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21005</v>
      </c>
      <c r="K29" s="2">
        <v>20799</v>
      </c>
      <c r="L29" s="104">
        <v>18843</v>
      </c>
      <c r="M29" s="117">
        <v>18227</v>
      </c>
      <c r="N29" s="117">
        <v>6331</v>
      </c>
      <c r="O29" s="117">
        <v>14042</v>
      </c>
      <c r="P29" s="117">
        <v>8665</v>
      </c>
      <c r="Q29" s="117">
        <v>7076</v>
      </c>
      <c r="R29" s="1">
        <v>3028</v>
      </c>
      <c r="S29" s="1">
        <v>12641</v>
      </c>
      <c r="T29" s="1">
        <v>8298</v>
      </c>
      <c r="U29" s="1">
        <v>8830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2013</v>
      </c>
      <c r="K30" s="2">
        <v>2297</v>
      </c>
      <c r="L30" s="104">
        <v>4365</v>
      </c>
      <c r="M30" s="117">
        <v>4800</v>
      </c>
      <c r="N30" s="117">
        <v>7862</v>
      </c>
      <c r="O30" s="117">
        <v>15805</v>
      </c>
      <c r="P30" s="117">
        <v>7693</v>
      </c>
      <c r="Q30" s="117">
        <v>12106</v>
      </c>
      <c r="R30" s="1">
        <v>-4566</v>
      </c>
      <c r="S30" s="1">
        <v>9778</v>
      </c>
      <c r="T30" s="1">
        <v>10344</v>
      </c>
      <c r="U30" s="1">
        <v>9208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26809</v>
      </c>
      <c r="K31" s="2">
        <v>54861</v>
      </c>
      <c r="L31" s="104">
        <v>32720</v>
      </c>
      <c r="M31" s="117">
        <v>23790</v>
      </c>
      <c r="N31" s="117">
        <v>5818</v>
      </c>
      <c r="O31" s="117">
        <v>5955</v>
      </c>
      <c r="P31" s="117">
        <v>7819</v>
      </c>
      <c r="Q31" s="117">
        <v>6933</v>
      </c>
      <c r="R31" s="1">
        <v>11820</v>
      </c>
      <c r="S31" s="1">
        <v>10444</v>
      </c>
      <c r="T31" s="1">
        <v>7357</v>
      </c>
      <c r="U31" s="1">
        <v>7038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13230</v>
      </c>
      <c r="K32" s="2">
        <v>18573</v>
      </c>
      <c r="L32" s="104">
        <v>18158</v>
      </c>
      <c r="M32" s="117">
        <v>5500</v>
      </c>
      <c r="N32" s="117">
        <v>6233</v>
      </c>
      <c r="O32" s="117">
        <v>7966</v>
      </c>
      <c r="P32" s="117">
        <v>6515</v>
      </c>
      <c r="Q32" s="117">
        <v>7310</v>
      </c>
      <c r="R32" s="2">
        <v>10329</v>
      </c>
      <c r="S32" s="1">
        <v>9165</v>
      </c>
      <c r="T32" s="1">
        <v>11471</v>
      </c>
      <c r="U32" s="1">
        <v>11710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15415</v>
      </c>
      <c r="K33" s="2">
        <v>26128</v>
      </c>
      <c r="L33" s="104">
        <v>16459</v>
      </c>
      <c r="M33" s="117">
        <v>6355</v>
      </c>
      <c r="N33" s="117">
        <v>7080</v>
      </c>
      <c r="O33" s="117">
        <v>6540</v>
      </c>
      <c r="P33" s="117">
        <v>14347</v>
      </c>
      <c r="Q33" s="117">
        <v>10731</v>
      </c>
      <c r="R33" s="1">
        <v>11266</v>
      </c>
      <c r="S33" s="1">
        <v>8436</v>
      </c>
      <c r="T33" s="1">
        <v>10688</v>
      </c>
      <c r="U33" s="1">
        <v>5548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31553</v>
      </c>
      <c r="K34" s="2">
        <v>32306</v>
      </c>
      <c r="L34" s="104">
        <v>28876</v>
      </c>
      <c r="M34" s="117">
        <v>4091</v>
      </c>
      <c r="N34" s="117">
        <v>8384</v>
      </c>
      <c r="O34" s="117">
        <v>10175</v>
      </c>
      <c r="P34" s="117">
        <v>1384</v>
      </c>
      <c r="Q34" s="117">
        <v>8525</v>
      </c>
      <c r="R34" s="1">
        <v>9036</v>
      </c>
      <c r="S34" s="1">
        <v>12120</v>
      </c>
      <c r="T34" s="1">
        <v>7703</v>
      </c>
      <c r="U34" s="1">
        <v>6264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17500</v>
      </c>
      <c r="K35" s="40">
        <v>18991</v>
      </c>
      <c r="L35" s="95">
        <v>13112</v>
      </c>
      <c r="M35" s="95">
        <v>5041</v>
      </c>
      <c r="N35" s="95">
        <v>7203</v>
      </c>
      <c r="O35" s="95">
        <v>4768</v>
      </c>
      <c r="P35" s="95">
        <v>10932</v>
      </c>
      <c r="Q35" s="95">
        <v>10555</v>
      </c>
      <c r="R35" s="1">
        <v>8586</v>
      </c>
      <c r="S35" s="1">
        <v>10316</v>
      </c>
      <c r="T35" s="1">
        <v>12219</v>
      </c>
      <c r="U35" s="1">
        <v>9921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190348</v>
      </c>
      <c r="K36" s="44">
        <f t="shared" si="4"/>
        <v>287255</v>
      </c>
      <c r="L36" s="96">
        <f t="shared" ref="L36:Q36" si="5">SUM(L24:L35)</f>
        <v>251559</v>
      </c>
      <c r="M36" s="96">
        <f t="shared" si="5"/>
        <v>172017</v>
      </c>
      <c r="N36" s="96">
        <f t="shared" si="5"/>
        <v>79814</v>
      </c>
      <c r="O36" s="96">
        <f t="shared" si="5"/>
        <v>110193</v>
      </c>
      <c r="P36" s="96">
        <f t="shared" si="5"/>
        <v>89223</v>
      </c>
      <c r="Q36" s="96">
        <f t="shared" si="5"/>
        <v>112627</v>
      </c>
      <c r="R36" s="126">
        <f t="shared" ref="R36:S36" si="6">SUM(R24:R35)</f>
        <v>94293</v>
      </c>
      <c r="S36" s="126">
        <f t="shared" si="6"/>
        <v>121398</v>
      </c>
      <c r="T36" s="126">
        <f t="shared" ref="T36:U36" si="7">SUM(T24:T35)</f>
        <v>123490</v>
      </c>
      <c r="U36" s="126">
        <f t="shared" si="7"/>
        <v>72493</v>
      </c>
    </row>
    <row r="37" spans="1:21" x14ac:dyDescent="0.2">
      <c r="A37" s="25"/>
      <c r="G37" s="7"/>
      <c r="H37" s="2"/>
      <c r="L37" s="94"/>
    </row>
    <row r="39" spans="1:21" x14ac:dyDescent="0.2">
      <c r="A39" s="29" t="s">
        <v>267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2">
        <v>0</v>
      </c>
      <c r="K42" s="2">
        <v>-3515</v>
      </c>
      <c r="L42" s="2">
        <v>-2895</v>
      </c>
      <c r="M42" s="2">
        <v>-14675</v>
      </c>
      <c r="N42" s="2">
        <v>-3157</v>
      </c>
      <c r="O42" s="117">
        <v>-12154</v>
      </c>
      <c r="P42" s="117">
        <v>-1</v>
      </c>
      <c r="Q42" s="117">
        <v>-15</v>
      </c>
      <c r="R42" s="1">
        <v>-1</v>
      </c>
      <c r="S42" s="117">
        <v>-5</v>
      </c>
      <c r="T42" s="1">
        <v>-946</v>
      </c>
      <c r="U42" s="117">
        <v>-59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2">
        <v>0</v>
      </c>
      <c r="K43" s="2">
        <v>-1757</v>
      </c>
      <c r="L43" s="2">
        <v>-1991</v>
      </c>
      <c r="M43" s="2">
        <v>-3115</v>
      </c>
      <c r="N43" s="2">
        <v>-17745</v>
      </c>
      <c r="O43" s="117">
        <v>0</v>
      </c>
      <c r="P43" s="117">
        <v>0</v>
      </c>
      <c r="Q43" s="117">
        <v>0</v>
      </c>
      <c r="R43" s="113">
        <v>-28</v>
      </c>
      <c r="S43" s="117">
        <v>-31</v>
      </c>
      <c r="T43" s="1">
        <v>-41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2">
        <v>0</v>
      </c>
      <c r="K44" s="2">
        <v>-2079</v>
      </c>
      <c r="L44" s="2">
        <v>-17196</v>
      </c>
      <c r="M44" s="2">
        <v>-2092</v>
      </c>
      <c r="N44" s="2">
        <v>-69630</v>
      </c>
      <c r="O44" s="117">
        <v>0</v>
      </c>
      <c r="P44" s="117">
        <v>-5602</v>
      </c>
      <c r="Q44" s="117">
        <v>-2950</v>
      </c>
      <c r="R44" s="1">
        <v>-9333</v>
      </c>
      <c r="S44" s="117">
        <v>-93</v>
      </c>
      <c r="T44" s="1">
        <v>0</v>
      </c>
      <c r="U44" s="117">
        <v>-49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2">
        <v>0</v>
      </c>
      <c r="K45" s="2">
        <v>0</v>
      </c>
      <c r="L45" s="2">
        <v>0</v>
      </c>
      <c r="M45" s="2">
        <v>-699</v>
      </c>
      <c r="N45" s="2">
        <v>-16</v>
      </c>
      <c r="O45" s="117">
        <v>-387</v>
      </c>
      <c r="P45" s="117">
        <v>-159</v>
      </c>
      <c r="Q45" s="117">
        <v>-4</v>
      </c>
      <c r="R45" s="1">
        <v>1719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2">
        <v>0</v>
      </c>
      <c r="K46" s="2">
        <v>-712</v>
      </c>
      <c r="L46" s="2">
        <v>-1834</v>
      </c>
      <c r="M46" s="2">
        <v>-9163</v>
      </c>
      <c r="N46" s="2">
        <v>0</v>
      </c>
      <c r="O46" s="117">
        <v>-244</v>
      </c>
      <c r="P46" s="117">
        <v>-8681</v>
      </c>
      <c r="Q46" s="117">
        <v>0</v>
      </c>
      <c r="R46" s="1">
        <v>-77</v>
      </c>
      <c r="S46" s="117">
        <v>0</v>
      </c>
      <c r="T46" s="1">
        <v>0</v>
      </c>
      <c r="U46" s="117">
        <v>-3112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2">
        <v>0</v>
      </c>
      <c r="K47" s="2">
        <v>-1268</v>
      </c>
      <c r="L47" s="2">
        <v>-1</v>
      </c>
      <c r="M47" s="2">
        <v>-64982</v>
      </c>
      <c r="N47" s="2">
        <v>-251</v>
      </c>
      <c r="O47" s="117">
        <v>-20689</v>
      </c>
      <c r="P47" s="117">
        <v>0</v>
      </c>
      <c r="Q47" s="117">
        <v>0</v>
      </c>
      <c r="R47" s="1">
        <v>-10409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2">
        <v>0</v>
      </c>
      <c r="K48" s="2">
        <v>-16812</v>
      </c>
      <c r="L48" s="2">
        <v>0</v>
      </c>
      <c r="M48" s="2">
        <v>-177</v>
      </c>
      <c r="N48" s="2">
        <v>-1325</v>
      </c>
      <c r="O48" s="117">
        <v>-1701</v>
      </c>
      <c r="P48" s="117">
        <v>0</v>
      </c>
      <c r="Q48" s="117">
        <v>0</v>
      </c>
      <c r="R48" s="1">
        <v>-295</v>
      </c>
      <c r="S48" s="117">
        <v>0</v>
      </c>
      <c r="T48" s="1">
        <v>-102</v>
      </c>
      <c r="U48" s="117">
        <v>-8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2">
        <v>-106</v>
      </c>
      <c r="K49" s="2">
        <v>-339</v>
      </c>
      <c r="L49" s="2">
        <v>-1</v>
      </c>
      <c r="M49" s="2">
        <v>-224</v>
      </c>
      <c r="N49" s="2">
        <v>-4</v>
      </c>
      <c r="O49" s="117">
        <v>-1407</v>
      </c>
      <c r="P49" s="117">
        <v>-167</v>
      </c>
      <c r="Q49" s="117">
        <v>-2411</v>
      </c>
      <c r="R49" s="1">
        <v>1667</v>
      </c>
      <c r="S49" s="117">
        <v>0</v>
      </c>
      <c r="T49" s="1">
        <v>-6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2">
        <v>-20386</v>
      </c>
      <c r="K50" s="2">
        <v>0</v>
      </c>
      <c r="L50" s="2">
        <v>-6552</v>
      </c>
      <c r="M50" s="2">
        <v>-134511</v>
      </c>
      <c r="N50" s="2">
        <v>-4893</v>
      </c>
      <c r="O50" s="117">
        <v>-58</v>
      </c>
      <c r="P50" s="117">
        <v>0</v>
      </c>
      <c r="Q50" s="117">
        <v>-171</v>
      </c>
      <c r="R50" s="117">
        <v>0</v>
      </c>
      <c r="S50" s="117">
        <v>-70</v>
      </c>
      <c r="T50" s="1">
        <v>-11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2">
        <v>-866</v>
      </c>
      <c r="K51" s="2">
        <v>-7345</v>
      </c>
      <c r="L51" s="2">
        <v>-104</v>
      </c>
      <c r="M51" s="2">
        <v>-2648</v>
      </c>
      <c r="N51" s="2">
        <v>-10</v>
      </c>
      <c r="O51" s="117">
        <v>-69</v>
      </c>
      <c r="P51" s="117">
        <v>-1</v>
      </c>
      <c r="Q51" s="117">
        <v>0</v>
      </c>
      <c r="R51" s="117">
        <v>-2</v>
      </c>
      <c r="S51" s="117">
        <v>0</v>
      </c>
      <c r="T51" s="1">
        <v>0</v>
      </c>
      <c r="U51" s="1">
        <v>-11116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2">
        <v>-97</v>
      </c>
      <c r="K52" s="2">
        <v>-35799</v>
      </c>
      <c r="L52" s="2">
        <v>-256</v>
      </c>
      <c r="M52" s="2">
        <v>-81</v>
      </c>
      <c r="N52" s="2">
        <v>0</v>
      </c>
      <c r="O52" s="117">
        <v>-11</v>
      </c>
      <c r="P52" s="117">
        <v>-275</v>
      </c>
      <c r="Q52" s="117">
        <v>-23</v>
      </c>
      <c r="R52" s="1">
        <v>-1245</v>
      </c>
      <c r="S52" s="117">
        <v>-1</v>
      </c>
      <c r="T52" s="1">
        <v>-11</v>
      </c>
      <c r="U52" s="117">
        <v>-119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168">
        <v>-1</v>
      </c>
      <c r="K53" s="168">
        <v>-4256</v>
      </c>
      <c r="L53" s="168">
        <v>-122994</v>
      </c>
      <c r="M53" s="168">
        <v>-10</v>
      </c>
      <c r="N53" s="168">
        <v>-8</v>
      </c>
      <c r="O53" s="168">
        <v>-1</v>
      </c>
      <c r="P53" s="168">
        <v>-66</v>
      </c>
      <c r="Q53" s="168">
        <v>0</v>
      </c>
      <c r="R53" s="168">
        <v>-53</v>
      </c>
      <c r="S53" s="182">
        <v>0</v>
      </c>
      <c r="T53" s="1">
        <v>-3</v>
      </c>
      <c r="U53" s="1">
        <v>0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78">
        <f t="shared" ref="J54:N54" si="8">SUM(J42:J53)</f>
        <v>-21456</v>
      </c>
      <c r="K54" s="178">
        <f t="shared" si="8"/>
        <v>-73882</v>
      </c>
      <c r="L54" s="178">
        <f t="shared" si="8"/>
        <v>-153824</v>
      </c>
      <c r="M54" s="178">
        <f t="shared" si="8"/>
        <v>-232377</v>
      </c>
      <c r="N54" s="178">
        <f t="shared" si="8"/>
        <v>-97039</v>
      </c>
      <c r="O54" s="96">
        <f>SUM(O42:O53)</f>
        <v>-36721</v>
      </c>
      <c r="P54" s="96">
        <f>SUM(P42:P53)</f>
        <v>-14952</v>
      </c>
      <c r="Q54" s="96">
        <f>SUM(Q42:Q53)</f>
        <v>-5574</v>
      </c>
      <c r="R54" s="126">
        <f t="shared" ref="R54" si="9">SUM(R42:R53)</f>
        <v>-18057</v>
      </c>
      <c r="S54" s="126">
        <f>SUM(S42:S53)</f>
        <v>-200</v>
      </c>
      <c r="T54" s="126">
        <f t="shared" ref="T54" si="10">SUM(T42:T53)</f>
        <v>-1120</v>
      </c>
      <c r="U54" s="126">
        <f>SUM(U42:U53)</f>
        <v>-14463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U54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0" width="7.5703125" bestFit="1" customWidth="1"/>
    <col min="11" max="11" width="7.7109375" bestFit="1" customWidth="1"/>
    <col min="12" max="14" width="8.140625" bestFit="1" customWidth="1"/>
    <col min="18" max="19" width="8.28515625" bestFit="1" customWidth="1"/>
  </cols>
  <sheetData>
    <row r="2" spans="1:21" x14ac:dyDescent="0.2">
      <c r="A2" s="24" t="s">
        <v>132</v>
      </c>
      <c r="B2" s="148">
        <v>5.0000000000000001E-3</v>
      </c>
      <c r="D2" s="94" t="s">
        <v>203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4034</v>
      </c>
      <c r="L5" s="104">
        <v>14720</v>
      </c>
      <c r="M5" s="117">
        <v>4345</v>
      </c>
      <c r="N5" s="117">
        <v>3772</v>
      </c>
      <c r="O5" s="117">
        <v>4519</v>
      </c>
      <c r="P5" s="117">
        <v>4413</v>
      </c>
      <c r="Q5" s="117">
        <v>5017</v>
      </c>
      <c r="R5" s="117">
        <v>5317</v>
      </c>
      <c r="S5" s="1">
        <v>4432</v>
      </c>
      <c r="T5" s="1">
        <v>5376</v>
      </c>
      <c r="U5" s="1">
        <v>5982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1642</v>
      </c>
      <c r="K6" s="2">
        <v>3215</v>
      </c>
      <c r="L6" s="104">
        <v>3728</v>
      </c>
      <c r="M6" s="117">
        <v>2683</v>
      </c>
      <c r="N6" s="117">
        <v>2419</v>
      </c>
      <c r="O6" s="117">
        <v>2389</v>
      </c>
      <c r="P6" s="117">
        <v>2369</v>
      </c>
      <c r="Q6" s="117">
        <v>2881</v>
      </c>
      <c r="R6" s="113">
        <v>2701</v>
      </c>
      <c r="S6" s="1">
        <v>2683</v>
      </c>
      <c r="T6" s="1">
        <v>3087</v>
      </c>
      <c r="U6" s="1">
        <v>3532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2058</v>
      </c>
      <c r="K7" s="2">
        <v>1903</v>
      </c>
      <c r="L7" s="105">
        <v>1774</v>
      </c>
      <c r="M7" s="117">
        <v>2047</v>
      </c>
      <c r="N7" s="117">
        <v>2424</v>
      </c>
      <c r="O7" s="117">
        <v>1766</v>
      </c>
      <c r="P7" s="117">
        <v>2359</v>
      </c>
      <c r="Q7" s="117">
        <v>1966</v>
      </c>
      <c r="R7" s="1">
        <v>2424</v>
      </c>
      <c r="S7" s="1">
        <v>3313</v>
      </c>
      <c r="T7" s="1">
        <v>3334</v>
      </c>
      <c r="U7" s="1">
        <v>3856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2914</v>
      </c>
      <c r="K8" s="2">
        <v>2306</v>
      </c>
      <c r="L8" s="104">
        <v>3659</v>
      </c>
      <c r="M8" s="117">
        <v>2927</v>
      </c>
      <c r="N8" s="117">
        <v>3167</v>
      </c>
      <c r="O8" s="117">
        <v>2856</v>
      </c>
      <c r="P8" s="117">
        <v>3202</v>
      </c>
      <c r="Q8" s="117">
        <v>3195</v>
      </c>
      <c r="R8" s="117">
        <v>3142</v>
      </c>
      <c r="S8" s="1">
        <v>4057</v>
      </c>
      <c r="T8" s="1">
        <v>4556</v>
      </c>
      <c r="U8" s="1">
        <v>4469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2476</v>
      </c>
      <c r="K9" s="2">
        <v>2843</v>
      </c>
      <c r="L9" s="104">
        <v>3741</v>
      </c>
      <c r="M9" s="117">
        <v>3023</v>
      </c>
      <c r="N9" s="117">
        <v>3056</v>
      </c>
      <c r="O9" s="117">
        <v>3218</v>
      </c>
      <c r="P9" s="117">
        <v>2863</v>
      </c>
      <c r="Q9" s="117">
        <v>2841</v>
      </c>
      <c r="R9" s="117">
        <v>2451</v>
      </c>
      <c r="S9" s="1">
        <v>4925</v>
      </c>
      <c r="T9" s="1">
        <v>5147</v>
      </c>
      <c r="U9" s="1">
        <v>4856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4073</v>
      </c>
      <c r="K10" s="2">
        <v>4452</v>
      </c>
      <c r="L10" s="104">
        <v>4980</v>
      </c>
      <c r="M10" s="117">
        <v>3335</v>
      </c>
      <c r="N10" s="117">
        <v>4281</v>
      </c>
      <c r="O10" s="117">
        <v>4630</v>
      </c>
      <c r="P10" s="117">
        <v>4646</v>
      </c>
      <c r="Q10" s="117">
        <v>4357</v>
      </c>
      <c r="R10" s="1">
        <v>3092</v>
      </c>
      <c r="S10" s="1">
        <v>5942</v>
      </c>
      <c r="T10" s="1">
        <v>7006</v>
      </c>
      <c r="U10" s="1">
        <v>5907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6754</v>
      </c>
      <c r="K11" s="2">
        <v>6294</v>
      </c>
      <c r="L11" s="104">
        <v>9029</v>
      </c>
      <c r="M11" s="117">
        <v>7287</v>
      </c>
      <c r="N11" s="117">
        <v>6960</v>
      </c>
      <c r="O11" s="117">
        <v>6858</v>
      </c>
      <c r="P11" s="117">
        <v>6179</v>
      </c>
      <c r="Q11" s="117">
        <v>6651</v>
      </c>
      <c r="R11" s="1">
        <v>6680</v>
      </c>
      <c r="S11" s="1">
        <v>7724</v>
      </c>
      <c r="T11" s="1">
        <v>8693</v>
      </c>
      <c r="U11" s="1">
        <v>8891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5540</v>
      </c>
      <c r="K12" s="2">
        <v>5989</v>
      </c>
      <c r="L12" s="104">
        <v>6508</v>
      </c>
      <c r="M12" s="117">
        <v>6662</v>
      </c>
      <c r="N12" s="117">
        <v>7176</v>
      </c>
      <c r="O12" s="117">
        <v>7756</v>
      </c>
      <c r="P12" s="117">
        <v>6309</v>
      </c>
      <c r="Q12" s="117">
        <v>5516</v>
      </c>
      <c r="R12" s="1">
        <v>6070</v>
      </c>
      <c r="S12" s="1">
        <v>7728</v>
      </c>
      <c r="T12" s="1">
        <v>7426</v>
      </c>
      <c r="U12" s="1">
        <v>8558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4863</v>
      </c>
      <c r="K13" s="2">
        <v>6092</v>
      </c>
      <c r="L13" s="104">
        <v>6210</v>
      </c>
      <c r="M13" s="117">
        <v>6509</v>
      </c>
      <c r="N13" s="117">
        <v>5948</v>
      </c>
      <c r="O13" s="117">
        <v>6108</v>
      </c>
      <c r="P13" s="117">
        <v>5827</v>
      </c>
      <c r="Q13" s="117">
        <v>6508</v>
      </c>
      <c r="R13" s="2">
        <v>6384</v>
      </c>
      <c r="S13" s="1">
        <v>6394</v>
      </c>
      <c r="T13" s="1">
        <v>11683</v>
      </c>
      <c r="U13" s="1">
        <v>7872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6916</v>
      </c>
      <c r="K14" s="2">
        <v>9340</v>
      </c>
      <c r="L14" s="104">
        <v>7807</v>
      </c>
      <c r="M14" s="117">
        <v>9333</v>
      </c>
      <c r="N14" s="117">
        <v>7935</v>
      </c>
      <c r="O14" s="117">
        <v>8065</v>
      </c>
      <c r="P14" s="117">
        <v>6643</v>
      </c>
      <c r="Q14" s="117">
        <v>6727</v>
      </c>
      <c r="R14" s="1">
        <v>6220</v>
      </c>
      <c r="S14" s="1">
        <v>7896</v>
      </c>
      <c r="T14" s="1">
        <v>9308</v>
      </c>
      <c r="U14" s="1">
        <v>9202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3893</v>
      </c>
      <c r="K15" s="2">
        <v>10571</v>
      </c>
      <c r="L15" s="104">
        <v>4525</v>
      </c>
      <c r="M15" s="117">
        <v>5685</v>
      </c>
      <c r="N15" s="117">
        <v>4979</v>
      </c>
      <c r="O15" s="117">
        <v>4318</v>
      </c>
      <c r="P15" s="117">
        <v>5498</v>
      </c>
      <c r="Q15" s="117">
        <v>4463</v>
      </c>
      <c r="R15" s="1">
        <v>5038</v>
      </c>
      <c r="S15" s="1">
        <v>5844</v>
      </c>
      <c r="T15" s="1">
        <v>6194</v>
      </c>
      <c r="U15" s="1">
        <v>6173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2434</v>
      </c>
      <c r="K16" s="40">
        <v>17502</v>
      </c>
      <c r="L16" s="95">
        <v>3195</v>
      </c>
      <c r="M16" s="95">
        <v>3001</v>
      </c>
      <c r="N16" s="95">
        <v>3232</v>
      </c>
      <c r="O16" s="95">
        <v>3511</v>
      </c>
      <c r="P16" s="95">
        <v>3637</v>
      </c>
      <c r="Q16" s="95">
        <v>3392</v>
      </c>
      <c r="R16" s="1">
        <v>3982</v>
      </c>
      <c r="S16" s="1">
        <v>3862</v>
      </c>
      <c r="T16" s="1">
        <v>4672</v>
      </c>
      <c r="U16" s="1">
        <v>4360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43563</v>
      </c>
      <c r="K17" s="44">
        <f t="shared" si="0"/>
        <v>74541</v>
      </c>
      <c r="L17" s="96">
        <f t="shared" si="0"/>
        <v>69876</v>
      </c>
      <c r="M17" s="96">
        <f t="shared" ref="M17:Q17" si="1">SUM(M5:M16)</f>
        <v>56837</v>
      </c>
      <c r="N17" s="96">
        <f t="shared" si="1"/>
        <v>55349</v>
      </c>
      <c r="O17" s="96">
        <f t="shared" si="1"/>
        <v>55994</v>
      </c>
      <c r="P17" s="96">
        <f t="shared" si="1"/>
        <v>53945</v>
      </c>
      <c r="Q17" s="96">
        <f t="shared" si="1"/>
        <v>53514</v>
      </c>
      <c r="R17" s="126">
        <f t="shared" ref="R17:S17" si="2">SUM(R5:R16)</f>
        <v>53501</v>
      </c>
      <c r="S17" s="126">
        <f t="shared" si="2"/>
        <v>64800</v>
      </c>
      <c r="T17" s="126">
        <f t="shared" ref="T17:U17" si="3">SUM(T5:T16)</f>
        <v>76482</v>
      </c>
      <c r="U17" s="126">
        <f t="shared" si="3"/>
        <v>73658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</row>
    <row r="20" spans="1:21" x14ac:dyDescent="0.2">
      <c r="H20" s="2"/>
      <c r="L20" s="94"/>
    </row>
    <row r="21" spans="1:21" x14ac:dyDescent="0.2">
      <c r="A21" s="24" t="s">
        <v>133</v>
      </c>
      <c r="B21" s="148">
        <v>5.0000000000000001E-3</v>
      </c>
      <c r="D21" s="94" t="s">
        <v>203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1404</v>
      </c>
      <c r="L24" s="104">
        <v>160</v>
      </c>
      <c r="M24" s="117">
        <v>440</v>
      </c>
      <c r="N24" s="117">
        <v>2213</v>
      </c>
      <c r="O24" s="117">
        <v>460</v>
      </c>
      <c r="P24" s="117">
        <v>73</v>
      </c>
      <c r="Q24" s="117">
        <v>312</v>
      </c>
      <c r="R24" s="117">
        <v>167</v>
      </c>
      <c r="S24" s="117">
        <v>422</v>
      </c>
      <c r="T24" s="1">
        <v>149</v>
      </c>
      <c r="U24" s="117">
        <v>118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314</v>
      </c>
      <c r="K25" s="2">
        <v>232</v>
      </c>
      <c r="L25" s="104">
        <v>224</v>
      </c>
      <c r="M25" s="117">
        <v>235</v>
      </c>
      <c r="N25" s="117">
        <v>331</v>
      </c>
      <c r="O25" s="117">
        <v>224</v>
      </c>
      <c r="P25" s="117">
        <v>215</v>
      </c>
      <c r="Q25" s="117">
        <v>77</v>
      </c>
      <c r="R25" s="113">
        <v>126</v>
      </c>
      <c r="S25" s="117">
        <v>138</v>
      </c>
      <c r="T25" s="1">
        <v>1313</v>
      </c>
      <c r="U25" s="1">
        <v>51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521</v>
      </c>
      <c r="K26" s="2">
        <v>45</v>
      </c>
      <c r="L26" s="104">
        <v>46</v>
      </c>
      <c r="M26" s="117">
        <v>100</v>
      </c>
      <c r="N26" s="117">
        <v>13</v>
      </c>
      <c r="O26" s="117">
        <v>172</v>
      </c>
      <c r="P26" s="117">
        <v>145</v>
      </c>
      <c r="Q26" s="117">
        <v>99</v>
      </c>
      <c r="R26" s="113">
        <v>227</v>
      </c>
      <c r="S26" s="117">
        <v>615</v>
      </c>
      <c r="T26" s="1">
        <v>355</v>
      </c>
      <c r="U26" s="1">
        <v>1057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38</v>
      </c>
      <c r="K27" s="2">
        <v>99</v>
      </c>
      <c r="L27" s="104">
        <v>62</v>
      </c>
      <c r="M27" s="117">
        <v>149</v>
      </c>
      <c r="N27" s="117">
        <v>214</v>
      </c>
      <c r="O27" s="117">
        <v>57</v>
      </c>
      <c r="P27" s="117">
        <v>37</v>
      </c>
      <c r="Q27" s="117">
        <v>75</v>
      </c>
      <c r="R27" s="117">
        <v>70</v>
      </c>
      <c r="S27" s="117">
        <v>161</v>
      </c>
      <c r="T27" s="1">
        <v>225</v>
      </c>
      <c r="U27" s="117">
        <v>111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315</v>
      </c>
      <c r="K28" s="2">
        <v>318</v>
      </c>
      <c r="L28" s="104">
        <v>288</v>
      </c>
      <c r="M28" s="117">
        <v>199</v>
      </c>
      <c r="N28" s="117">
        <v>130</v>
      </c>
      <c r="O28" s="117">
        <v>177</v>
      </c>
      <c r="P28" s="117">
        <v>244</v>
      </c>
      <c r="Q28" s="117">
        <v>336</v>
      </c>
      <c r="R28" s="117">
        <v>194</v>
      </c>
      <c r="S28" s="117">
        <v>523</v>
      </c>
      <c r="T28" s="1">
        <v>87</v>
      </c>
      <c r="U28" s="117">
        <v>404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141</v>
      </c>
      <c r="K29" s="2">
        <v>82</v>
      </c>
      <c r="L29" s="104">
        <v>132</v>
      </c>
      <c r="M29" s="117">
        <v>1159</v>
      </c>
      <c r="N29" s="117">
        <v>125</v>
      </c>
      <c r="O29" s="117">
        <v>144</v>
      </c>
      <c r="P29" s="117">
        <v>215</v>
      </c>
      <c r="Q29" s="117">
        <v>146</v>
      </c>
      <c r="R29" s="1">
        <v>6789</v>
      </c>
      <c r="S29" s="117">
        <v>2131</v>
      </c>
      <c r="T29" s="1">
        <v>1530</v>
      </c>
      <c r="U29" s="117">
        <v>420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341</v>
      </c>
      <c r="K30" s="2">
        <v>299</v>
      </c>
      <c r="L30" s="104">
        <v>269</v>
      </c>
      <c r="M30" s="117">
        <v>248</v>
      </c>
      <c r="N30" s="117">
        <v>519</v>
      </c>
      <c r="O30" s="117">
        <v>288</v>
      </c>
      <c r="P30" s="117">
        <v>420</v>
      </c>
      <c r="Q30" s="117">
        <v>408</v>
      </c>
      <c r="R30" s="1">
        <v>622</v>
      </c>
      <c r="S30" s="1">
        <v>2780</v>
      </c>
      <c r="T30" s="1">
        <v>324</v>
      </c>
      <c r="U30" s="1">
        <v>525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236</v>
      </c>
      <c r="K31" s="2">
        <v>348</v>
      </c>
      <c r="L31" s="104">
        <v>53</v>
      </c>
      <c r="M31" s="117">
        <v>300</v>
      </c>
      <c r="N31" s="117">
        <v>87</v>
      </c>
      <c r="O31" s="117">
        <v>278</v>
      </c>
      <c r="P31" s="117">
        <v>198</v>
      </c>
      <c r="Q31" s="117">
        <v>733</v>
      </c>
      <c r="R31" s="117">
        <v>1116</v>
      </c>
      <c r="S31" s="1">
        <v>1353</v>
      </c>
      <c r="T31" s="1">
        <v>218</v>
      </c>
      <c r="U31" s="1">
        <v>9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259</v>
      </c>
      <c r="K32" s="2">
        <v>-244</v>
      </c>
      <c r="L32" s="104">
        <v>10</v>
      </c>
      <c r="M32" s="117">
        <v>118</v>
      </c>
      <c r="N32" s="117">
        <v>283</v>
      </c>
      <c r="O32" s="117">
        <v>145</v>
      </c>
      <c r="P32" s="117">
        <v>77</v>
      </c>
      <c r="Q32" s="117">
        <v>59</v>
      </c>
      <c r="R32" s="2">
        <v>669</v>
      </c>
      <c r="S32" s="1">
        <v>345</v>
      </c>
      <c r="T32" s="1">
        <v>411</v>
      </c>
      <c r="U32" s="1">
        <v>392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990</v>
      </c>
      <c r="K33" s="2">
        <v>1848</v>
      </c>
      <c r="L33" s="104">
        <v>49</v>
      </c>
      <c r="M33" s="117">
        <v>256</v>
      </c>
      <c r="N33" s="117">
        <v>1016</v>
      </c>
      <c r="O33" s="117">
        <v>239</v>
      </c>
      <c r="P33" s="117">
        <v>254</v>
      </c>
      <c r="Q33" s="117">
        <v>221</v>
      </c>
      <c r="R33" s="1">
        <v>485</v>
      </c>
      <c r="S33" s="117">
        <v>43</v>
      </c>
      <c r="T33" s="1">
        <v>473</v>
      </c>
      <c r="U33" s="117">
        <v>219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381</v>
      </c>
      <c r="K34" s="2">
        <v>217</v>
      </c>
      <c r="L34" s="104">
        <v>125</v>
      </c>
      <c r="M34" s="117">
        <v>23</v>
      </c>
      <c r="N34" s="117">
        <v>174</v>
      </c>
      <c r="O34" s="117">
        <v>168</v>
      </c>
      <c r="P34" s="117">
        <v>510</v>
      </c>
      <c r="Q34" s="117">
        <v>228</v>
      </c>
      <c r="R34" s="1">
        <v>545</v>
      </c>
      <c r="S34" s="117">
        <v>145</v>
      </c>
      <c r="T34" s="1">
        <v>133</v>
      </c>
      <c r="U34" s="117">
        <v>360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27</v>
      </c>
      <c r="K35" s="40">
        <v>227</v>
      </c>
      <c r="L35" s="95">
        <v>246</v>
      </c>
      <c r="M35" s="95">
        <v>183</v>
      </c>
      <c r="N35" s="95">
        <v>87</v>
      </c>
      <c r="O35" s="95">
        <v>389</v>
      </c>
      <c r="P35" s="95">
        <v>212</v>
      </c>
      <c r="Q35" s="95">
        <v>43</v>
      </c>
      <c r="R35" s="95">
        <v>300</v>
      </c>
      <c r="S35" s="162">
        <v>501</v>
      </c>
      <c r="T35" s="1">
        <v>212</v>
      </c>
      <c r="U35" s="162">
        <v>399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3563</v>
      </c>
      <c r="K36" s="44">
        <f t="shared" si="4"/>
        <v>4875</v>
      </c>
      <c r="L36" s="96">
        <f t="shared" ref="L36:Q36" si="5">SUM(L24:L35)</f>
        <v>1664</v>
      </c>
      <c r="M36" s="96">
        <f t="shared" si="5"/>
        <v>3410</v>
      </c>
      <c r="N36" s="96">
        <f t="shared" si="5"/>
        <v>5192</v>
      </c>
      <c r="O36" s="96">
        <f t="shared" si="5"/>
        <v>2741</v>
      </c>
      <c r="P36" s="96">
        <f t="shared" si="5"/>
        <v>2600</v>
      </c>
      <c r="Q36" s="96">
        <f t="shared" si="5"/>
        <v>2737</v>
      </c>
      <c r="R36" s="126">
        <f t="shared" ref="R36:S36" si="6">SUM(R24:R35)</f>
        <v>11310</v>
      </c>
      <c r="S36" s="126">
        <f t="shared" si="6"/>
        <v>9157</v>
      </c>
      <c r="T36" s="126">
        <f t="shared" ref="T36:U36" si="7">SUM(T24:T35)</f>
        <v>5430</v>
      </c>
      <c r="U36" s="126">
        <f t="shared" si="7"/>
        <v>4065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H38" s="2"/>
    </row>
    <row r="39" spans="1:21" x14ac:dyDescent="0.2">
      <c r="A39" s="29" t="s">
        <v>268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">
        <v>-2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2">
        <v>-1</v>
      </c>
      <c r="K51" s="2">
        <v>0</v>
      </c>
      <c r="L51" s="2">
        <v>-834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26">
        <f t="shared" ref="J54:N54" si="8">SUM(J42:J53)</f>
        <v>-1</v>
      </c>
      <c r="K54" s="126">
        <f t="shared" si="8"/>
        <v>0</v>
      </c>
      <c r="L54" s="126">
        <f t="shared" si="8"/>
        <v>-834</v>
      </c>
      <c r="M54" s="126">
        <f t="shared" si="8"/>
        <v>0</v>
      </c>
      <c r="N54" s="126">
        <f t="shared" si="8"/>
        <v>0</v>
      </c>
      <c r="O54" s="96">
        <f>SUM(O42:O53)</f>
        <v>0</v>
      </c>
      <c r="P54" s="96">
        <f>SUM(P42:P53)</f>
        <v>0</v>
      </c>
      <c r="Q54" s="96">
        <f>SUM(Q42:Q53)</f>
        <v>0</v>
      </c>
      <c r="R54" s="126">
        <f t="shared" ref="R54" si="9">SUM(R42:R53)</f>
        <v>0</v>
      </c>
      <c r="S54" s="126">
        <f>SUM(S42:S53)</f>
        <v>0</v>
      </c>
      <c r="T54" s="126">
        <f t="shared" ref="T54" si="10">SUM(T42:T53)</f>
        <v>-2</v>
      </c>
      <c r="U54" s="126">
        <f>SUM(U42:U53)</f>
        <v>0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10" width="5" bestFit="1" customWidth="1"/>
    <col min="11" max="11" width="8.5703125" bestFit="1" customWidth="1"/>
    <col min="12" max="12" width="9.140625" bestFit="1" customWidth="1"/>
    <col min="13" max="14" width="9.7109375" bestFit="1" customWidth="1"/>
    <col min="15" max="17" width="9.28515625" bestFit="1" customWidth="1"/>
    <col min="18" max="21" width="10.7109375" bestFit="1" customWidth="1"/>
  </cols>
  <sheetData>
    <row r="2" spans="1:21" x14ac:dyDescent="0.2">
      <c r="A2" s="24" t="s">
        <v>141</v>
      </c>
      <c r="B2" s="148">
        <v>0.01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104">
        <v>81318</v>
      </c>
      <c r="M5" s="117">
        <v>79573</v>
      </c>
      <c r="N5" s="117">
        <v>81133</v>
      </c>
      <c r="O5" s="117">
        <v>91267</v>
      </c>
      <c r="P5" s="117">
        <v>81208</v>
      </c>
      <c r="Q5" s="117">
        <v>81108</v>
      </c>
      <c r="R5" s="1">
        <v>88292</v>
      </c>
      <c r="S5" s="1">
        <v>100017</v>
      </c>
      <c r="T5" s="1">
        <v>103012</v>
      </c>
      <c r="U5" s="1">
        <v>111648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4">
        <v>66735</v>
      </c>
      <c r="M6" s="117">
        <v>61559</v>
      </c>
      <c r="N6" s="117">
        <v>65074</v>
      </c>
      <c r="O6" s="117">
        <v>65085</v>
      </c>
      <c r="P6" s="117">
        <v>59334</v>
      </c>
      <c r="Q6" s="117">
        <v>69129</v>
      </c>
      <c r="R6" s="1">
        <v>71657</v>
      </c>
      <c r="S6" s="1">
        <v>85364</v>
      </c>
      <c r="T6" s="1">
        <v>80079</v>
      </c>
      <c r="U6" s="1">
        <v>83175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5">
        <v>65172</v>
      </c>
      <c r="M7" s="117">
        <v>56448</v>
      </c>
      <c r="N7" s="117">
        <v>63811</v>
      </c>
      <c r="O7" s="117">
        <v>58178</v>
      </c>
      <c r="P7" s="117">
        <v>56429</v>
      </c>
      <c r="Q7" s="117">
        <v>64308</v>
      </c>
      <c r="R7" s="1">
        <v>63060</v>
      </c>
      <c r="S7" s="1">
        <v>76177</v>
      </c>
      <c r="T7" s="1">
        <v>77647</v>
      </c>
      <c r="U7" s="1">
        <v>78687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4">
        <v>65483</v>
      </c>
      <c r="M8" s="117">
        <v>67771</v>
      </c>
      <c r="N8" s="117">
        <v>67809</v>
      </c>
      <c r="O8" s="117">
        <v>70770</v>
      </c>
      <c r="P8" s="117">
        <v>69046</v>
      </c>
      <c r="Q8" s="117">
        <v>71960</v>
      </c>
      <c r="R8" s="1">
        <v>72015</v>
      </c>
      <c r="S8" s="1">
        <v>98582</v>
      </c>
      <c r="T8" s="1">
        <v>89366</v>
      </c>
      <c r="U8" s="1">
        <v>91835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53608</v>
      </c>
      <c r="L9" s="104">
        <v>61518</v>
      </c>
      <c r="M9" s="117">
        <v>66465</v>
      </c>
      <c r="N9" s="117">
        <v>69996</v>
      </c>
      <c r="O9" s="117">
        <v>70092</v>
      </c>
      <c r="P9" s="117">
        <v>60940</v>
      </c>
      <c r="Q9" s="117">
        <v>71986</v>
      </c>
      <c r="R9" s="1">
        <v>77164</v>
      </c>
      <c r="S9" s="1">
        <v>97455</v>
      </c>
      <c r="T9" s="1">
        <v>87507</v>
      </c>
      <c r="U9" s="1">
        <v>166572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71819</v>
      </c>
      <c r="L10" s="104">
        <v>75982</v>
      </c>
      <c r="M10" s="117">
        <v>78272</v>
      </c>
      <c r="N10" s="117">
        <v>79695</v>
      </c>
      <c r="O10" s="117">
        <v>80034</v>
      </c>
      <c r="P10" s="117">
        <v>78968</v>
      </c>
      <c r="Q10" s="117">
        <v>87336</v>
      </c>
      <c r="R10" s="1">
        <v>99761</v>
      </c>
      <c r="S10" s="1">
        <v>104899</v>
      </c>
      <c r="T10" s="1">
        <v>110719</v>
      </c>
      <c r="U10" s="1">
        <v>225040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65427</v>
      </c>
      <c r="L11" s="104">
        <v>76874</v>
      </c>
      <c r="M11" s="117">
        <v>78447</v>
      </c>
      <c r="N11" s="117">
        <v>80044</v>
      </c>
      <c r="O11" s="117">
        <v>83139</v>
      </c>
      <c r="P11" s="117">
        <v>76218</v>
      </c>
      <c r="Q11" s="117">
        <v>85219</v>
      </c>
      <c r="R11" s="1">
        <v>90163</v>
      </c>
      <c r="S11" s="1">
        <v>105373</v>
      </c>
      <c r="T11" s="1">
        <v>110811</v>
      </c>
      <c r="U11" s="1">
        <v>228694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87489</v>
      </c>
      <c r="L12" s="104">
        <v>78795</v>
      </c>
      <c r="M12" s="117">
        <v>82176</v>
      </c>
      <c r="N12" s="117">
        <v>84753</v>
      </c>
      <c r="O12" s="117">
        <v>82484</v>
      </c>
      <c r="P12" s="117">
        <v>82492</v>
      </c>
      <c r="Q12" s="117">
        <v>85977</v>
      </c>
      <c r="R12" s="1">
        <v>97775</v>
      </c>
      <c r="S12" s="1">
        <v>104011</v>
      </c>
      <c r="T12" s="1">
        <v>107887</v>
      </c>
      <c r="U12" s="1">
        <v>215707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77174</v>
      </c>
      <c r="L13" s="104">
        <v>76478</v>
      </c>
      <c r="M13" s="117">
        <v>73640</v>
      </c>
      <c r="N13" s="117">
        <v>78161</v>
      </c>
      <c r="O13" s="117">
        <v>78379</v>
      </c>
      <c r="P13" s="117">
        <v>76898</v>
      </c>
      <c r="Q13" s="117">
        <v>85321</v>
      </c>
      <c r="R13" s="2">
        <v>87701</v>
      </c>
      <c r="S13" s="1">
        <v>96586</v>
      </c>
      <c r="T13" s="1">
        <v>110201</v>
      </c>
      <c r="U13" s="1">
        <v>208285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73159</v>
      </c>
      <c r="L14" s="104">
        <v>71689</v>
      </c>
      <c r="M14" s="117">
        <v>70050</v>
      </c>
      <c r="N14" s="117">
        <v>77722</v>
      </c>
      <c r="O14" s="117">
        <v>75187</v>
      </c>
      <c r="P14" s="117">
        <v>76304</v>
      </c>
      <c r="Q14" s="117">
        <v>77532</v>
      </c>
      <c r="R14" s="1">
        <v>90385</v>
      </c>
      <c r="S14" s="1">
        <v>100705</v>
      </c>
      <c r="T14" s="1">
        <v>100329</v>
      </c>
      <c r="U14" s="1">
        <v>206236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71611</v>
      </c>
      <c r="L15" s="104">
        <v>72305</v>
      </c>
      <c r="M15" s="117">
        <v>73053</v>
      </c>
      <c r="N15" s="117">
        <v>72716</v>
      </c>
      <c r="O15" s="117">
        <v>70160</v>
      </c>
      <c r="P15" s="117">
        <v>78284</v>
      </c>
      <c r="Q15" s="117">
        <v>77937</v>
      </c>
      <c r="R15" s="1">
        <v>85795</v>
      </c>
      <c r="S15" s="1">
        <v>95472</v>
      </c>
      <c r="T15" s="1">
        <v>98039</v>
      </c>
      <c r="U15" s="1">
        <v>192422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68928</v>
      </c>
      <c r="L16" s="95">
        <v>69429</v>
      </c>
      <c r="M16" s="95">
        <v>67628</v>
      </c>
      <c r="N16" s="95">
        <v>74592</v>
      </c>
      <c r="O16" s="95">
        <v>69039</v>
      </c>
      <c r="P16" s="95">
        <v>74205</v>
      </c>
      <c r="Q16" s="95">
        <v>75842</v>
      </c>
      <c r="R16" s="1">
        <v>87561</v>
      </c>
      <c r="S16" s="1">
        <v>92358</v>
      </c>
      <c r="T16" s="1">
        <v>93607</v>
      </c>
      <c r="U16" s="1">
        <v>196709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569215</v>
      </c>
      <c r="L17" s="96">
        <f t="shared" si="0"/>
        <v>861778</v>
      </c>
      <c r="M17" s="96">
        <f t="shared" ref="M17:Q17" si="1">SUM(M5:M16)</f>
        <v>855082</v>
      </c>
      <c r="N17" s="96">
        <f t="shared" si="1"/>
        <v>895506</v>
      </c>
      <c r="O17" s="96">
        <f t="shared" si="1"/>
        <v>893814</v>
      </c>
      <c r="P17" s="96">
        <f t="shared" si="1"/>
        <v>870326</v>
      </c>
      <c r="Q17" s="96">
        <f t="shared" si="1"/>
        <v>933655</v>
      </c>
      <c r="R17" s="126">
        <f t="shared" ref="R17:S17" si="2">SUM(R5:R16)</f>
        <v>1011329</v>
      </c>
      <c r="S17" s="126">
        <f t="shared" si="2"/>
        <v>1156999</v>
      </c>
      <c r="T17" s="126">
        <f t="shared" ref="T17:U17" si="3">SUM(T5:T16)</f>
        <v>1169204</v>
      </c>
      <c r="U17" s="126">
        <f t="shared" si="3"/>
        <v>2005010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</row>
    <row r="20" spans="1:21" x14ac:dyDescent="0.2">
      <c r="H20" s="2"/>
      <c r="L20" s="94"/>
    </row>
    <row r="21" spans="1:21" x14ac:dyDescent="0.2">
      <c r="A21" s="24" t="s">
        <v>140</v>
      </c>
      <c r="B21" s="148">
        <v>0.01</v>
      </c>
      <c r="D21" s="94" t="s">
        <v>479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104">
        <v>13111</v>
      </c>
      <c r="M24" s="117">
        <v>45241</v>
      </c>
      <c r="N24" s="117">
        <v>6191</v>
      </c>
      <c r="O24" s="117">
        <v>9917</v>
      </c>
      <c r="P24" s="117">
        <v>8122</v>
      </c>
      <c r="Q24" s="117">
        <v>8057</v>
      </c>
      <c r="R24" s="1">
        <v>7252</v>
      </c>
      <c r="S24" s="1">
        <v>8320</v>
      </c>
      <c r="T24" s="1">
        <v>8118</v>
      </c>
      <c r="U24" s="1">
        <v>7054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104">
        <v>17953</v>
      </c>
      <c r="M25" s="117">
        <v>15191</v>
      </c>
      <c r="N25" s="117">
        <v>8513</v>
      </c>
      <c r="O25" s="117">
        <v>8541</v>
      </c>
      <c r="P25" s="117">
        <v>6395</v>
      </c>
      <c r="Q25" s="117">
        <v>10113</v>
      </c>
      <c r="R25" s="1">
        <v>4735</v>
      </c>
      <c r="S25" s="1">
        <v>5036</v>
      </c>
      <c r="T25" s="1">
        <v>8798</v>
      </c>
      <c r="U25" s="1">
        <v>9978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4">
        <v>10560</v>
      </c>
      <c r="M26" s="117">
        <v>17407</v>
      </c>
      <c r="N26" s="117">
        <v>6178</v>
      </c>
      <c r="O26" s="117">
        <v>5448</v>
      </c>
      <c r="P26" s="117">
        <v>5958</v>
      </c>
      <c r="Q26" s="117">
        <v>13311</v>
      </c>
      <c r="R26" s="1">
        <v>6698</v>
      </c>
      <c r="S26" s="1">
        <v>6327</v>
      </c>
      <c r="T26" s="1">
        <v>9315</v>
      </c>
      <c r="U26" s="1">
        <v>10391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104">
        <v>14176</v>
      </c>
      <c r="M27" s="117">
        <v>21837</v>
      </c>
      <c r="N27" s="117">
        <v>1712</v>
      </c>
      <c r="O27" s="117">
        <v>6911</v>
      </c>
      <c r="P27" s="117">
        <v>6276</v>
      </c>
      <c r="Q27" s="117">
        <v>8883</v>
      </c>
      <c r="R27" s="1">
        <v>6894</v>
      </c>
      <c r="S27" s="1">
        <v>7630</v>
      </c>
      <c r="T27" s="1">
        <v>9507</v>
      </c>
      <c r="U27" s="1">
        <v>11551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16292</v>
      </c>
      <c r="L28" s="104">
        <v>20155</v>
      </c>
      <c r="M28" s="117">
        <v>17034</v>
      </c>
      <c r="N28" s="117">
        <v>5264</v>
      </c>
      <c r="O28" s="117">
        <v>6719</v>
      </c>
      <c r="P28" s="117">
        <v>7127</v>
      </c>
      <c r="Q28" s="117">
        <v>7299</v>
      </c>
      <c r="R28" s="1">
        <v>6315</v>
      </c>
      <c r="S28" s="1">
        <v>8135</v>
      </c>
      <c r="T28" s="1">
        <v>11800</v>
      </c>
      <c r="U28" s="1">
        <v>18023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13965</v>
      </c>
      <c r="L29" s="104">
        <v>22237</v>
      </c>
      <c r="M29" s="117">
        <v>13301</v>
      </c>
      <c r="N29" s="117">
        <v>2210</v>
      </c>
      <c r="O29" s="117">
        <v>9004</v>
      </c>
      <c r="P29" s="117">
        <v>4824</v>
      </c>
      <c r="Q29" s="117">
        <v>7750</v>
      </c>
      <c r="R29" s="113">
        <v>8702</v>
      </c>
      <c r="S29" s="1">
        <v>11081</v>
      </c>
      <c r="T29" s="1">
        <v>7798</v>
      </c>
      <c r="U29" s="1">
        <v>18107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7031</v>
      </c>
      <c r="L30" s="104">
        <v>6273</v>
      </c>
      <c r="M30" s="117">
        <v>3148</v>
      </c>
      <c r="N30" s="117">
        <v>3434</v>
      </c>
      <c r="O30" s="117">
        <v>4999</v>
      </c>
      <c r="P30" s="117">
        <v>4016</v>
      </c>
      <c r="Q30" s="117">
        <v>5129</v>
      </c>
      <c r="R30" s="1">
        <v>8494</v>
      </c>
      <c r="S30" s="1">
        <v>10786</v>
      </c>
      <c r="T30" s="1">
        <v>11812</v>
      </c>
      <c r="U30" s="1">
        <v>-19636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25192</v>
      </c>
      <c r="L31" s="104">
        <v>25128</v>
      </c>
      <c r="M31" s="117">
        <v>15660</v>
      </c>
      <c r="N31" s="117">
        <v>11391</v>
      </c>
      <c r="O31" s="117">
        <v>11554</v>
      </c>
      <c r="P31" s="117">
        <v>7932</v>
      </c>
      <c r="Q31" s="117">
        <v>10989</v>
      </c>
      <c r="R31" s="1">
        <v>6270</v>
      </c>
      <c r="S31" s="1">
        <v>12823</v>
      </c>
      <c r="T31" s="1">
        <v>13009</v>
      </c>
      <c r="U31" s="1">
        <v>12879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16268</v>
      </c>
      <c r="L32" s="104">
        <v>13757</v>
      </c>
      <c r="M32" s="117">
        <v>5129</v>
      </c>
      <c r="N32" s="117">
        <v>6795</v>
      </c>
      <c r="O32" s="117">
        <v>6672</v>
      </c>
      <c r="P32" s="117">
        <v>5427</v>
      </c>
      <c r="Q32" s="117">
        <v>5873</v>
      </c>
      <c r="R32" s="2">
        <v>11648</v>
      </c>
      <c r="S32" s="1">
        <v>13241</v>
      </c>
      <c r="T32" s="1">
        <v>11599</v>
      </c>
      <c r="U32" s="1">
        <v>17746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18251</v>
      </c>
      <c r="L33" s="104">
        <v>23794</v>
      </c>
      <c r="M33" s="117">
        <v>6079</v>
      </c>
      <c r="N33" s="117">
        <v>9292</v>
      </c>
      <c r="O33" s="117">
        <v>11995</v>
      </c>
      <c r="P33" s="117">
        <v>5728</v>
      </c>
      <c r="Q33" s="117">
        <v>15948</v>
      </c>
      <c r="R33" s="1">
        <v>10767</v>
      </c>
      <c r="S33" s="1">
        <v>10249</v>
      </c>
      <c r="T33" s="1">
        <v>11315</v>
      </c>
      <c r="U33" s="1">
        <v>29578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12716</v>
      </c>
      <c r="L34" s="104">
        <v>20307</v>
      </c>
      <c r="M34" s="117">
        <v>5247</v>
      </c>
      <c r="N34" s="117">
        <v>9211</v>
      </c>
      <c r="O34" s="117">
        <v>11638</v>
      </c>
      <c r="P34" s="117">
        <v>7396</v>
      </c>
      <c r="Q34" s="117">
        <v>5955</v>
      </c>
      <c r="R34" s="1">
        <v>6357</v>
      </c>
      <c r="S34" s="1">
        <v>9363</v>
      </c>
      <c r="T34" s="1">
        <v>10279</v>
      </c>
      <c r="U34" s="1">
        <v>18577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16832</v>
      </c>
      <c r="L35" s="95">
        <v>13677</v>
      </c>
      <c r="M35" s="95">
        <v>4958</v>
      </c>
      <c r="N35" s="95">
        <v>7247</v>
      </c>
      <c r="O35" s="95">
        <v>5143</v>
      </c>
      <c r="P35" s="95">
        <v>6805</v>
      </c>
      <c r="Q35" s="95">
        <v>6304</v>
      </c>
      <c r="R35" s="1">
        <v>5372</v>
      </c>
      <c r="S35" s="1">
        <v>7823</v>
      </c>
      <c r="T35" s="1">
        <v>11112</v>
      </c>
      <c r="U35" s="1">
        <v>16909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 t="shared" si="4"/>
        <v>126547</v>
      </c>
      <c r="L36" s="96">
        <f t="shared" ref="L36:Q36" si="5">SUM(L24:L35)</f>
        <v>201128</v>
      </c>
      <c r="M36" s="96">
        <f t="shared" si="5"/>
        <v>170232</v>
      </c>
      <c r="N36" s="96">
        <f t="shared" si="5"/>
        <v>77438</v>
      </c>
      <c r="O36" s="96">
        <f t="shared" si="5"/>
        <v>98541</v>
      </c>
      <c r="P36" s="96">
        <f t="shared" si="5"/>
        <v>76006</v>
      </c>
      <c r="Q36" s="96">
        <f t="shared" si="5"/>
        <v>105611</v>
      </c>
      <c r="R36" s="126">
        <f t="shared" ref="R36:S36" si="6">SUM(R24:R35)</f>
        <v>89504</v>
      </c>
      <c r="S36" s="126">
        <f t="shared" si="6"/>
        <v>110814</v>
      </c>
      <c r="T36" s="126">
        <f t="shared" ref="T36:U36" si="7">SUM(T24:T35)</f>
        <v>124462</v>
      </c>
      <c r="U36" s="126">
        <f t="shared" si="7"/>
        <v>151157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H38" s="2"/>
    </row>
    <row r="39" spans="1:21" x14ac:dyDescent="0.2">
      <c r="A39" s="29" t="s">
        <v>269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104"/>
      <c r="K42" s="2"/>
      <c r="L42" s="2">
        <v>0</v>
      </c>
      <c r="M42" s="2">
        <v>0</v>
      </c>
      <c r="N42" s="2">
        <v>-80916</v>
      </c>
      <c r="O42" s="117">
        <v>0</v>
      </c>
      <c r="P42" s="117">
        <v>-14</v>
      </c>
      <c r="Q42" s="117">
        <v>0</v>
      </c>
      <c r="R42" s="1">
        <v>-5520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104"/>
      <c r="K43" s="2"/>
      <c r="L43" s="2">
        <v>-11</v>
      </c>
      <c r="M43" s="2">
        <v>-132</v>
      </c>
      <c r="N43" s="2">
        <v>-43663</v>
      </c>
      <c r="O43" s="117">
        <v>0</v>
      </c>
      <c r="P43" s="117">
        <v>0</v>
      </c>
      <c r="Q43" s="117">
        <v>-35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104"/>
      <c r="K44" s="2"/>
      <c r="L44" s="2">
        <v>-181</v>
      </c>
      <c r="M44" s="2">
        <v>-3596</v>
      </c>
      <c r="N44" s="2">
        <v>-241</v>
      </c>
      <c r="O44" s="117">
        <v>0</v>
      </c>
      <c r="P44" s="117">
        <v>0</v>
      </c>
      <c r="Q44" s="117">
        <v>-28</v>
      </c>
      <c r="R44" s="117">
        <v>0</v>
      </c>
      <c r="S44" s="117">
        <v>-2</v>
      </c>
      <c r="T44" s="1">
        <v>-8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104"/>
      <c r="K45" s="2"/>
      <c r="L45" s="2">
        <v>-41868</v>
      </c>
      <c r="M45" s="2">
        <v>-73</v>
      </c>
      <c r="N45" s="2">
        <v>-509</v>
      </c>
      <c r="O45" s="117">
        <v>-11</v>
      </c>
      <c r="P45" s="117">
        <v>-1784</v>
      </c>
      <c r="Q45" s="117">
        <v>-230</v>
      </c>
      <c r="R45" s="117">
        <v>-628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104"/>
      <c r="K46" s="2">
        <v>0</v>
      </c>
      <c r="L46" s="2">
        <v>-205</v>
      </c>
      <c r="M46" s="2">
        <v>-50745</v>
      </c>
      <c r="N46" s="2">
        <v>0</v>
      </c>
      <c r="O46" s="117">
        <v>10</v>
      </c>
      <c r="P46" s="117">
        <v>0</v>
      </c>
      <c r="Q46" s="117">
        <v>0</v>
      </c>
      <c r="R46" s="1">
        <v>-11511</v>
      </c>
      <c r="S46" s="117">
        <v>0</v>
      </c>
      <c r="T46" s="1">
        <v>-6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104"/>
      <c r="K47" s="2">
        <v>0</v>
      </c>
      <c r="L47" s="2">
        <v>0</v>
      </c>
      <c r="M47" s="2">
        <v>-44</v>
      </c>
      <c r="N47" s="2">
        <v>-15607</v>
      </c>
      <c r="O47" s="117">
        <v>0</v>
      </c>
      <c r="P47" s="117">
        <v>-38</v>
      </c>
      <c r="Q47" s="117">
        <v>0</v>
      </c>
      <c r="R47" s="117">
        <v>0</v>
      </c>
      <c r="S47" s="117">
        <v>-2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104"/>
      <c r="K48" s="2">
        <v>0</v>
      </c>
      <c r="L48" s="2">
        <v>-466</v>
      </c>
      <c r="M48" s="2">
        <v>-38382</v>
      </c>
      <c r="N48" s="2">
        <v>-886</v>
      </c>
      <c r="O48" s="117">
        <v>-47</v>
      </c>
      <c r="P48" s="117">
        <v>0</v>
      </c>
      <c r="Q48" s="117">
        <v>0</v>
      </c>
      <c r="R48" s="1">
        <v>-611</v>
      </c>
      <c r="S48" s="117">
        <v>-20</v>
      </c>
      <c r="T48" s="1">
        <v>-4</v>
      </c>
      <c r="U48" s="117">
        <v>-11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104"/>
      <c r="K49" s="2">
        <v>0</v>
      </c>
      <c r="L49" s="2">
        <v>-26684</v>
      </c>
      <c r="M49" s="2">
        <v>-92</v>
      </c>
      <c r="N49" s="2">
        <v>0</v>
      </c>
      <c r="O49" s="117">
        <v>-31</v>
      </c>
      <c r="P49" s="117">
        <v>0</v>
      </c>
      <c r="Q49" s="117">
        <v>0</v>
      </c>
      <c r="R49" s="117">
        <v>-17</v>
      </c>
      <c r="S49" s="117">
        <v>-30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104"/>
      <c r="K50" s="2">
        <v>0</v>
      </c>
      <c r="L50" s="2">
        <v>0</v>
      </c>
      <c r="M50" s="2">
        <v>0</v>
      </c>
      <c r="N50" s="2">
        <v>0</v>
      </c>
      <c r="O50" s="117">
        <v>0</v>
      </c>
      <c r="P50" s="117">
        <v>0</v>
      </c>
      <c r="Q50" s="117">
        <v>-549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104"/>
      <c r="K51" s="2">
        <v>0</v>
      </c>
      <c r="L51" s="2">
        <v>0</v>
      </c>
      <c r="M51" s="2">
        <v>-21120</v>
      </c>
      <c r="N51" s="2">
        <v>0</v>
      </c>
      <c r="O51" s="117">
        <v>-1974</v>
      </c>
      <c r="P51" s="117">
        <v>0</v>
      </c>
      <c r="Q51" s="117">
        <v>0</v>
      </c>
      <c r="R51" s="117">
        <v>0</v>
      </c>
      <c r="S51" s="117">
        <v>-42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162"/>
      <c r="K52" s="2">
        <v>0</v>
      </c>
      <c r="L52" s="2">
        <v>0</v>
      </c>
      <c r="M52" s="2">
        <v>-33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162"/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-4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26"/>
      <c r="K54" s="126">
        <f t="shared" ref="K54:N54" si="8">SUM(K42:K53)</f>
        <v>0</v>
      </c>
      <c r="L54" s="126">
        <f t="shared" si="8"/>
        <v>-69415</v>
      </c>
      <c r="M54" s="126">
        <f t="shared" si="8"/>
        <v>-114217</v>
      </c>
      <c r="N54" s="126">
        <f t="shared" si="8"/>
        <v>-141822</v>
      </c>
      <c r="O54" s="96">
        <f>SUM(O42:O53)</f>
        <v>-2053</v>
      </c>
      <c r="P54" s="96">
        <f>SUM(P42:P53)</f>
        <v>-1836</v>
      </c>
      <c r="Q54" s="96">
        <f>SUM(Q42:Q53)</f>
        <v>-842</v>
      </c>
      <c r="R54" s="126">
        <f t="shared" ref="R54" si="9">SUM(R42:R53)</f>
        <v>-18291</v>
      </c>
      <c r="S54" s="126">
        <f>SUM(S42:S53)</f>
        <v>-96</v>
      </c>
      <c r="T54" s="126">
        <f t="shared" ref="T54" si="10">SUM(T42:T53)</f>
        <v>-18</v>
      </c>
      <c r="U54" s="126">
        <f>SUM(U42:U53)</f>
        <v>-11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U72"/>
  <sheetViews>
    <sheetView workbookViewId="0">
      <pane xSplit="1" topLeftCell="S1" activePane="topRight" state="frozen"/>
      <selection pane="topRight" activeCell="V5" sqref="V5"/>
    </sheetView>
  </sheetViews>
  <sheetFormatPr defaultRowHeight="12.75" x14ac:dyDescent="0.2"/>
  <cols>
    <col min="1" max="1" width="19.28515625" customWidth="1"/>
    <col min="2" max="2" width="5.28515625" bestFit="1" customWidth="1"/>
    <col min="3" max="10" width="5" bestFit="1" customWidth="1"/>
    <col min="11" max="11" width="8.7109375" bestFit="1" customWidth="1"/>
    <col min="12" max="12" width="10.140625" bestFit="1" customWidth="1"/>
    <col min="13" max="21" width="10.7109375" bestFit="1" customWidth="1"/>
  </cols>
  <sheetData>
    <row r="2" spans="1:21" x14ac:dyDescent="0.2">
      <c r="A2" s="24" t="s">
        <v>142</v>
      </c>
      <c r="B2" s="148">
        <v>5.0000000000000001E-3</v>
      </c>
      <c r="D2" s="94" t="s">
        <v>189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2">
        <v>121363</v>
      </c>
      <c r="M5" s="117">
        <v>116263</v>
      </c>
      <c r="N5" s="117">
        <v>127685</v>
      </c>
      <c r="O5" s="117">
        <v>127694</v>
      </c>
      <c r="P5" s="117">
        <v>130934</v>
      </c>
      <c r="Q5" s="117">
        <v>121058</v>
      </c>
      <c r="R5" s="1">
        <v>133617</v>
      </c>
      <c r="S5" s="1">
        <v>145670</v>
      </c>
      <c r="T5" s="1">
        <v>155116</v>
      </c>
      <c r="U5" s="1">
        <v>156062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7">
        <v>103394</v>
      </c>
      <c r="M6" s="117">
        <v>101210</v>
      </c>
      <c r="N6" s="117">
        <v>92961</v>
      </c>
      <c r="O6" s="117">
        <v>95050</v>
      </c>
      <c r="P6" s="117">
        <v>95518</v>
      </c>
      <c r="Q6" s="117">
        <v>93748</v>
      </c>
      <c r="R6" s="1">
        <v>106314</v>
      </c>
      <c r="S6" s="1">
        <v>115858</v>
      </c>
      <c r="T6" s="1">
        <v>121326</v>
      </c>
      <c r="U6" s="1">
        <v>120391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2">
        <v>90993</v>
      </c>
      <c r="M7" s="117">
        <v>103362</v>
      </c>
      <c r="N7" s="117">
        <v>118175</v>
      </c>
      <c r="O7" s="117">
        <v>89174</v>
      </c>
      <c r="P7" s="117">
        <v>87117</v>
      </c>
      <c r="Q7" s="117">
        <v>86097</v>
      </c>
      <c r="R7" s="1">
        <v>109831</v>
      </c>
      <c r="S7" s="1">
        <v>105502</v>
      </c>
      <c r="T7" s="1">
        <v>117501</v>
      </c>
      <c r="U7" s="1">
        <v>130809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2">
        <v>102870</v>
      </c>
      <c r="M8" s="117">
        <v>112750</v>
      </c>
      <c r="N8" s="117">
        <v>107451</v>
      </c>
      <c r="O8" s="117">
        <v>101888</v>
      </c>
      <c r="P8" s="117">
        <v>104691</v>
      </c>
      <c r="Q8" s="117">
        <v>115854</v>
      </c>
      <c r="R8" s="1">
        <v>115547</v>
      </c>
      <c r="S8" s="1">
        <v>141865</v>
      </c>
      <c r="T8" s="1">
        <v>146898</v>
      </c>
      <c r="U8" s="1">
        <v>149349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88865</v>
      </c>
      <c r="L9" s="2">
        <v>103212</v>
      </c>
      <c r="M9" s="117">
        <v>107498</v>
      </c>
      <c r="N9" s="117">
        <v>106835</v>
      </c>
      <c r="O9" s="117">
        <v>108337</v>
      </c>
      <c r="P9" s="117">
        <v>95271</v>
      </c>
      <c r="Q9" s="117">
        <v>111361</v>
      </c>
      <c r="R9" s="1">
        <v>110888</v>
      </c>
      <c r="S9" s="1">
        <v>140001</v>
      </c>
      <c r="T9" s="1">
        <v>134496</v>
      </c>
      <c r="U9" s="1">
        <v>154047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112640</v>
      </c>
      <c r="L10" s="2">
        <v>122008</v>
      </c>
      <c r="M10" s="117">
        <v>117714</v>
      </c>
      <c r="N10" s="117">
        <v>111908</v>
      </c>
      <c r="O10" s="117">
        <v>119627</v>
      </c>
      <c r="P10" s="117">
        <v>119690</v>
      </c>
      <c r="Q10" s="117">
        <v>126792</v>
      </c>
      <c r="R10" s="1">
        <v>135023</v>
      </c>
      <c r="S10" s="1">
        <v>138009</v>
      </c>
      <c r="T10" s="1">
        <v>169486</v>
      </c>
      <c r="U10" s="1">
        <v>195954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85506</v>
      </c>
      <c r="L11" s="2">
        <v>109247</v>
      </c>
      <c r="M11" s="117">
        <v>88801</v>
      </c>
      <c r="N11" s="117">
        <v>98495</v>
      </c>
      <c r="O11" s="117">
        <v>96194</v>
      </c>
      <c r="P11" s="117">
        <v>94597</v>
      </c>
      <c r="Q11" s="117">
        <v>118350</v>
      </c>
      <c r="R11" s="1">
        <v>104633</v>
      </c>
      <c r="S11" s="1">
        <v>148120</v>
      </c>
      <c r="T11" s="1">
        <v>167740</v>
      </c>
      <c r="U11" s="1">
        <v>162382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134339</v>
      </c>
      <c r="L12" s="2">
        <v>136669</v>
      </c>
      <c r="M12" s="117">
        <v>145169</v>
      </c>
      <c r="N12" s="117">
        <v>151908</v>
      </c>
      <c r="O12" s="117">
        <v>138257</v>
      </c>
      <c r="P12" s="117">
        <v>145026</v>
      </c>
      <c r="Q12" s="117">
        <v>135235</v>
      </c>
      <c r="R12" s="1">
        <v>161827</v>
      </c>
      <c r="S12" s="1">
        <v>164514</v>
      </c>
      <c r="T12" s="1">
        <v>145778</v>
      </c>
      <c r="U12" s="1">
        <v>159632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118733</v>
      </c>
      <c r="L13" s="2">
        <v>118007</v>
      </c>
      <c r="M13" s="117">
        <v>117716</v>
      </c>
      <c r="N13" s="117">
        <v>113193</v>
      </c>
      <c r="O13" s="117">
        <v>128748</v>
      </c>
      <c r="P13" s="117">
        <v>118641</v>
      </c>
      <c r="Q13" s="117">
        <v>122817</v>
      </c>
      <c r="R13" s="2">
        <v>132414</v>
      </c>
      <c r="S13" s="1">
        <v>147026</v>
      </c>
      <c r="T13" s="1">
        <v>170168</v>
      </c>
      <c r="U13" s="1">
        <v>164129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104941</v>
      </c>
      <c r="L14" s="2">
        <v>121142</v>
      </c>
      <c r="M14" s="117">
        <v>120720</v>
      </c>
      <c r="N14" s="117">
        <v>124481</v>
      </c>
      <c r="O14" s="117">
        <v>132816</v>
      </c>
      <c r="P14" s="117">
        <v>112784</v>
      </c>
      <c r="Q14" s="117">
        <v>125533</v>
      </c>
      <c r="R14" s="1">
        <v>136415</v>
      </c>
      <c r="S14" s="1">
        <v>150816</v>
      </c>
      <c r="T14" s="1">
        <v>158569</v>
      </c>
      <c r="U14" s="1">
        <v>158010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103480</v>
      </c>
      <c r="L15" s="2">
        <v>107540</v>
      </c>
      <c r="M15" s="117">
        <v>106811</v>
      </c>
      <c r="N15" s="117">
        <v>101348</v>
      </c>
      <c r="O15" s="117">
        <v>102782</v>
      </c>
      <c r="P15" s="117">
        <v>120409</v>
      </c>
      <c r="Q15" s="117">
        <v>125007</v>
      </c>
      <c r="R15" s="1">
        <v>118702</v>
      </c>
      <c r="S15" s="1">
        <v>134574</v>
      </c>
      <c r="T15" s="1">
        <v>147135</v>
      </c>
      <c r="U15" s="1">
        <v>158023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109344</v>
      </c>
      <c r="L16" s="40">
        <v>105802</v>
      </c>
      <c r="M16" s="95">
        <v>107610</v>
      </c>
      <c r="N16" s="95">
        <v>109070</v>
      </c>
      <c r="O16" s="95">
        <v>109202</v>
      </c>
      <c r="P16" s="95">
        <v>114133</v>
      </c>
      <c r="Q16" s="95">
        <v>120307</v>
      </c>
      <c r="R16" s="1">
        <v>119244</v>
      </c>
      <c r="S16" s="1">
        <v>120381</v>
      </c>
      <c r="T16" s="1">
        <v>158565</v>
      </c>
      <c r="U16" s="1">
        <v>153908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857848</v>
      </c>
      <c r="L17" s="44">
        <f t="shared" si="0"/>
        <v>1342247</v>
      </c>
      <c r="M17" s="96">
        <f t="shared" ref="M17:Q17" si="1">SUM(M5:M16)</f>
        <v>1345624</v>
      </c>
      <c r="N17" s="96">
        <f t="shared" si="1"/>
        <v>1363510</v>
      </c>
      <c r="O17" s="96">
        <f t="shared" si="1"/>
        <v>1349769</v>
      </c>
      <c r="P17" s="96">
        <f t="shared" si="1"/>
        <v>1338811</v>
      </c>
      <c r="Q17" s="96">
        <f t="shared" si="1"/>
        <v>1402159</v>
      </c>
      <c r="R17" s="126">
        <f t="shared" ref="R17:S17" si="2">SUM(R5:R16)</f>
        <v>1484455</v>
      </c>
      <c r="S17" s="126">
        <f t="shared" si="2"/>
        <v>1652336</v>
      </c>
      <c r="T17" s="126">
        <f t="shared" ref="T17:U17" si="3">SUM(T5:T16)</f>
        <v>1792778</v>
      </c>
      <c r="U17" s="126">
        <f t="shared" si="3"/>
        <v>1862696</v>
      </c>
    </row>
    <row r="18" spans="1:21" x14ac:dyDescent="0.2">
      <c r="A18" s="25"/>
      <c r="G18" s="7"/>
      <c r="H18" s="2"/>
    </row>
    <row r="19" spans="1:21" x14ac:dyDescent="0.2">
      <c r="A19" s="25"/>
      <c r="H19" s="2"/>
    </row>
    <row r="20" spans="1:21" x14ac:dyDescent="0.2">
      <c r="H20" s="2"/>
    </row>
    <row r="21" spans="1:21" x14ac:dyDescent="0.2">
      <c r="A21" s="24" t="s">
        <v>143</v>
      </c>
      <c r="B21" s="148">
        <v>5.0000000000000001E-3</v>
      </c>
      <c r="D21" s="94" t="s">
        <v>189</v>
      </c>
      <c r="H21" s="2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2">
        <v>8305</v>
      </c>
      <c r="M24" s="117">
        <v>11008</v>
      </c>
      <c r="N24" s="117">
        <v>16119</v>
      </c>
      <c r="O24" s="117">
        <v>8471</v>
      </c>
      <c r="P24" s="117">
        <v>7588</v>
      </c>
      <c r="Q24" s="117">
        <v>10239</v>
      </c>
      <c r="R24" s="1">
        <v>11560</v>
      </c>
      <c r="S24" s="1">
        <v>7967</v>
      </c>
      <c r="T24" s="1">
        <v>16748</v>
      </c>
      <c r="U24" s="1">
        <v>10990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2">
        <v>4655</v>
      </c>
      <c r="M25" s="117">
        <v>5519</v>
      </c>
      <c r="N25" s="117">
        <v>8060</v>
      </c>
      <c r="O25" s="117">
        <v>6178</v>
      </c>
      <c r="P25" s="117">
        <v>6934</v>
      </c>
      <c r="Q25" s="117">
        <v>11956</v>
      </c>
      <c r="R25" s="1">
        <v>8573</v>
      </c>
      <c r="S25" s="1">
        <v>7434</v>
      </c>
      <c r="T25" s="1">
        <v>12204</v>
      </c>
      <c r="U25" s="1">
        <v>7957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7">
        <v>6119</v>
      </c>
      <c r="M26" s="117">
        <v>3826</v>
      </c>
      <c r="N26" s="117">
        <v>7858</v>
      </c>
      <c r="O26" s="117">
        <v>7707</v>
      </c>
      <c r="P26" s="117">
        <v>7607</v>
      </c>
      <c r="Q26" s="117">
        <v>6461</v>
      </c>
      <c r="R26" s="1">
        <v>-64008</v>
      </c>
      <c r="S26" s="1">
        <v>8375</v>
      </c>
      <c r="T26" s="1">
        <v>16606</v>
      </c>
      <c r="U26" s="1">
        <v>6481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2">
        <v>5289</v>
      </c>
      <c r="M27" s="117">
        <v>6903</v>
      </c>
      <c r="N27" s="117">
        <v>15103</v>
      </c>
      <c r="O27" s="117">
        <v>8745</v>
      </c>
      <c r="P27" s="117">
        <v>9756</v>
      </c>
      <c r="Q27" s="117">
        <v>6796</v>
      </c>
      <c r="R27" s="1">
        <v>7936</v>
      </c>
      <c r="S27" s="1">
        <v>10974</v>
      </c>
      <c r="T27" s="1">
        <v>15796</v>
      </c>
      <c r="U27" s="1">
        <v>12260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2495</v>
      </c>
      <c r="L28" s="2">
        <v>5851</v>
      </c>
      <c r="M28" s="117">
        <v>4725</v>
      </c>
      <c r="N28" s="117">
        <v>7189</v>
      </c>
      <c r="O28" s="117">
        <v>-22107</v>
      </c>
      <c r="P28" s="117">
        <v>9537</v>
      </c>
      <c r="Q28" s="117">
        <v>11761</v>
      </c>
      <c r="R28" s="1">
        <v>7977</v>
      </c>
      <c r="S28" s="1">
        <v>8577</v>
      </c>
      <c r="T28" s="1">
        <v>14307</v>
      </c>
      <c r="U28" s="1">
        <v>11837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4280</v>
      </c>
      <c r="L29" s="2">
        <v>8013</v>
      </c>
      <c r="M29" s="117">
        <v>12918</v>
      </c>
      <c r="N29" s="117">
        <v>10884</v>
      </c>
      <c r="O29" s="117">
        <v>9511</v>
      </c>
      <c r="P29" s="117">
        <v>9330</v>
      </c>
      <c r="Q29" s="117">
        <v>10041</v>
      </c>
      <c r="R29" s="1">
        <v>-63473</v>
      </c>
      <c r="S29" s="1">
        <v>9730</v>
      </c>
      <c r="T29" s="1">
        <v>15066</v>
      </c>
      <c r="U29" s="1">
        <v>10673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4732</v>
      </c>
      <c r="L30" s="2">
        <v>12332</v>
      </c>
      <c r="M30" s="117">
        <v>20883</v>
      </c>
      <c r="N30" s="117">
        <v>14157</v>
      </c>
      <c r="O30" s="117">
        <v>7562</v>
      </c>
      <c r="P30" s="117">
        <v>9700</v>
      </c>
      <c r="Q30" s="117">
        <v>10603</v>
      </c>
      <c r="R30" s="1">
        <v>9322</v>
      </c>
      <c r="S30" s="1">
        <v>12056</v>
      </c>
      <c r="T30" s="1">
        <v>20127</v>
      </c>
      <c r="U30" s="1">
        <v>12124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4558</v>
      </c>
      <c r="L31" s="2">
        <v>8177</v>
      </c>
      <c r="M31" s="117">
        <v>46868</v>
      </c>
      <c r="N31" s="117">
        <v>7507</v>
      </c>
      <c r="O31" s="117">
        <v>10881</v>
      </c>
      <c r="P31" s="117">
        <v>8845</v>
      </c>
      <c r="Q31" s="117">
        <v>12312</v>
      </c>
      <c r="R31" s="1">
        <v>7861</v>
      </c>
      <c r="S31" s="1">
        <v>10834</v>
      </c>
      <c r="T31" s="1">
        <v>13717</v>
      </c>
      <c r="U31" s="1">
        <v>8657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5970</v>
      </c>
      <c r="L32" s="2">
        <v>7349</v>
      </c>
      <c r="M32" s="117">
        <v>12185</v>
      </c>
      <c r="N32" s="117">
        <v>13897</v>
      </c>
      <c r="O32" s="117">
        <v>9940</v>
      </c>
      <c r="P32" s="117">
        <v>8497</v>
      </c>
      <c r="Q32" s="117">
        <v>18970</v>
      </c>
      <c r="R32" s="2">
        <v>14307</v>
      </c>
      <c r="S32" s="1">
        <v>16322</v>
      </c>
      <c r="T32" s="1">
        <v>16378</v>
      </c>
      <c r="U32" s="1">
        <v>10514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4418</v>
      </c>
      <c r="L33" s="2">
        <v>6665</v>
      </c>
      <c r="M33" s="117">
        <v>9534</v>
      </c>
      <c r="N33" s="117">
        <v>8950</v>
      </c>
      <c r="O33" s="117">
        <v>10870</v>
      </c>
      <c r="P33" s="117">
        <v>8207</v>
      </c>
      <c r="Q33" s="117">
        <v>11736</v>
      </c>
      <c r="R33" s="1">
        <v>7067</v>
      </c>
      <c r="S33" s="1">
        <v>9738</v>
      </c>
      <c r="T33" s="1">
        <v>19771</v>
      </c>
      <c r="U33" s="1">
        <v>8669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5559</v>
      </c>
      <c r="L34" s="2">
        <v>4812</v>
      </c>
      <c r="M34" s="117">
        <v>9253</v>
      </c>
      <c r="N34" s="117">
        <v>9255</v>
      </c>
      <c r="O34" s="117">
        <v>7545</v>
      </c>
      <c r="P34" s="117">
        <v>10248</v>
      </c>
      <c r="Q34" s="117">
        <v>12875</v>
      </c>
      <c r="R34" s="1">
        <v>11925</v>
      </c>
      <c r="S34" s="1">
        <v>14248</v>
      </c>
      <c r="T34" s="1">
        <v>12548</v>
      </c>
      <c r="U34" s="1">
        <v>-71321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4490</v>
      </c>
      <c r="L35" s="40">
        <v>6438</v>
      </c>
      <c r="M35" s="95">
        <v>8475</v>
      </c>
      <c r="N35" s="95">
        <v>8953</v>
      </c>
      <c r="O35" s="95">
        <v>5843</v>
      </c>
      <c r="P35" s="95">
        <v>13435</v>
      </c>
      <c r="Q35" s="95">
        <v>9489</v>
      </c>
      <c r="R35" s="1">
        <v>9281</v>
      </c>
      <c r="S35" s="1">
        <v>9375</v>
      </c>
      <c r="T35" s="1">
        <v>10741</v>
      </c>
      <c r="U35" s="1">
        <v>10338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 t="shared" si="4"/>
        <v>36502</v>
      </c>
      <c r="L36" s="44">
        <f t="shared" ref="L36:Q36" si="5">SUM(L24:L35)</f>
        <v>84005</v>
      </c>
      <c r="M36" s="96">
        <f t="shared" si="5"/>
        <v>152097</v>
      </c>
      <c r="N36" s="96">
        <f t="shared" si="5"/>
        <v>127932</v>
      </c>
      <c r="O36" s="96">
        <f t="shared" si="5"/>
        <v>71146</v>
      </c>
      <c r="P36" s="96">
        <f t="shared" si="5"/>
        <v>109684</v>
      </c>
      <c r="Q36" s="96">
        <f t="shared" si="5"/>
        <v>133239</v>
      </c>
      <c r="R36" s="126">
        <f t="shared" ref="R36:S36" si="6">SUM(R24:R35)</f>
        <v>-31672</v>
      </c>
      <c r="S36" s="126">
        <f t="shared" si="6"/>
        <v>125630</v>
      </c>
      <c r="T36" s="126">
        <f t="shared" ref="T36:U36" si="7">SUM(T24:T35)</f>
        <v>184009</v>
      </c>
      <c r="U36" s="126">
        <f t="shared" si="7"/>
        <v>39179</v>
      </c>
    </row>
    <row r="37" spans="1:21" x14ac:dyDescent="0.2">
      <c r="A37" s="25"/>
      <c r="B37" s="14"/>
      <c r="C37" s="14"/>
      <c r="D37" s="14"/>
      <c r="E37" s="14"/>
      <c r="F37" s="44"/>
      <c r="G37" s="44"/>
      <c r="H37" s="44"/>
      <c r="I37" s="44"/>
      <c r="J37" s="44"/>
      <c r="K37" s="44"/>
      <c r="L37" s="44"/>
      <c r="M37" s="96"/>
      <c r="N37" s="96"/>
      <c r="O37" s="96"/>
      <c r="P37" s="96"/>
      <c r="Q37" s="96"/>
      <c r="R37" s="96"/>
      <c r="S37" s="96"/>
      <c r="U37" s="96"/>
    </row>
    <row r="38" spans="1:21" x14ac:dyDescent="0.2">
      <c r="A38" s="25"/>
      <c r="G38" s="7"/>
      <c r="H38" s="2"/>
    </row>
    <row r="39" spans="1:21" x14ac:dyDescent="0.2">
      <c r="A39" s="29" t="s">
        <v>270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104"/>
      <c r="K42" s="2"/>
      <c r="L42" s="2">
        <v>0</v>
      </c>
      <c r="M42" s="2">
        <v>-694</v>
      </c>
      <c r="N42" s="2">
        <v>-2404</v>
      </c>
      <c r="O42" s="117">
        <v>-76337</v>
      </c>
      <c r="P42" s="117">
        <v>-97</v>
      </c>
      <c r="Q42" s="117">
        <v>-636</v>
      </c>
      <c r="R42" s="117">
        <v>0</v>
      </c>
      <c r="S42" s="117">
        <v>-397</v>
      </c>
      <c r="T42" s="1">
        <v>0</v>
      </c>
      <c r="U42" s="1">
        <v>-16913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104"/>
      <c r="K43" s="2"/>
      <c r="L43" s="2">
        <v>-925</v>
      </c>
      <c r="M43" s="2">
        <v>-288</v>
      </c>
      <c r="N43" s="2">
        <v>-2609</v>
      </c>
      <c r="O43" s="117">
        <v>-100416</v>
      </c>
      <c r="P43" s="117">
        <v>-25</v>
      </c>
      <c r="Q43" s="117">
        <v>-7568</v>
      </c>
      <c r="R43" s="1">
        <v>-273</v>
      </c>
      <c r="S43" s="117">
        <v>-68</v>
      </c>
      <c r="T43" s="1">
        <v>-314</v>
      </c>
      <c r="U43" s="117">
        <v>-258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104"/>
      <c r="K44" s="2"/>
      <c r="L44" s="2">
        <v>-1</v>
      </c>
      <c r="M44" s="2">
        <v>-43338</v>
      </c>
      <c r="N44" s="2">
        <v>-118</v>
      </c>
      <c r="O44" s="117">
        <v>0</v>
      </c>
      <c r="P44" s="117">
        <v>0</v>
      </c>
      <c r="Q44" s="117">
        <v>-148</v>
      </c>
      <c r="R44" s="1">
        <v>-334</v>
      </c>
      <c r="S44" s="117">
        <v>0</v>
      </c>
      <c r="T44" s="1">
        <v>0</v>
      </c>
      <c r="U44" s="117">
        <v>-218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104"/>
      <c r="K45" s="2"/>
      <c r="L45" s="2">
        <v>-670</v>
      </c>
      <c r="M45" s="2">
        <v>0</v>
      </c>
      <c r="N45" s="2">
        <v>-599</v>
      </c>
      <c r="O45" s="117">
        <v>0</v>
      </c>
      <c r="P45" s="117">
        <v>-453</v>
      </c>
      <c r="Q45" s="117">
        <v>0</v>
      </c>
      <c r="R45" s="117">
        <v>0</v>
      </c>
      <c r="S45" s="117">
        <v>0</v>
      </c>
      <c r="T45" s="1">
        <v>0</v>
      </c>
      <c r="U45" s="117">
        <v>-686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104"/>
      <c r="K46" s="2">
        <v>0</v>
      </c>
      <c r="L46" s="2">
        <v>-461</v>
      </c>
      <c r="M46" s="2">
        <v>0</v>
      </c>
      <c r="N46" s="2">
        <v>0</v>
      </c>
      <c r="O46" s="117">
        <v>-3432</v>
      </c>
      <c r="P46" s="117">
        <v>-677</v>
      </c>
      <c r="Q46" s="117">
        <v>-22</v>
      </c>
      <c r="R46" s="1">
        <v>-258</v>
      </c>
      <c r="S46" s="117">
        <v>0</v>
      </c>
      <c r="T46" s="1">
        <v>0</v>
      </c>
      <c r="U46" s="117">
        <v>-57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104"/>
      <c r="K47" s="2">
        <v>0</v>
      </c>
      <c r="L47" s="2">
        <v>0</v>
      </c>
      <c r="M47" s="2">
        <v>-411</v>
      </c>
      <c r="N47" s="2">
        <v>-14</v>
      </c>
      <c r="O47" s="117">
        <v>-3742</v>
      </c>
      <c r="P47" s="117">
        <v>-39</v>
      </c>
      <c r="Q47" s="117">
        <v>0</v>
      </c>
      <c r="R47" s="1">
        <v>-447</v>
      </c>
      <c r="S47" s="117">
        <v>-521</v>
      </c>
      <c r="T47" s="1">
        <v>0</v>
      </c>
      <c r="U47" s="1">
        <v>-2891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104"/>
      <c r="K48" s="2">
        <v>0</v>
      </c>
      <c r="L48" s="2">
        <v>-312</v>
      </c>
      <c r="M48" s="2">
        <v>0</v>
      </c>
      <c r="N48" s="2">
        <v>0</v>
      </c>
      <c r="O48" s="117">
        <v>-589</v>
      </c>
      <c r="P48" s="117">
        <v>-162</v>
      </c>
      <c r="Q48" s="117">
        <v>0</v>
      </c>
      <c r="R48" s="1">
        <v>-588</v>
      </c>
      <c r="S48" s="117">
        <v>0</v>
      </c>
      <c r="T48" s="1">
        <v>-8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104"/>
      <c r="K49" s="2">
        <v>0</v>
      </c>
      <c r="L49" s="2">
        <v>-23</v>
      </c>
      <c r="M49" s="2">
        <v>-1063</v>
      </c>
      <c r="N49" s="2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-248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104"/>
      <c r="K50" s="2">
        <v>0</v>
      </c>
      <c r="L50" s="2">
        <v>0</v>
      </c>
      <c r="M50" s="2">
        <v>-1623</v>
      </c>
      <c r="N50" s="2">
        <v>-7042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104"/>
      <c r="K51" s="2">
        <v>-11</v>
      </c>
      <c r="L51" s="2">
        <v>-35</v>
      </c>
      <c r="M51" s="2">
        <v>0</v>
      </c>
      <c r="N51" s="2">
        <v>0</v>
      </c>
      <c r="O51" s="117">
        <v>-682</v>
      </c>
      <c r="P51" s="117">
        <v>-30</v>
      </c>
      <c r="Q51" s="117">
        <v>0</v>
      </c>
      <c r="R51" s="117">
        <v>0</v>
      </c>
      <c r="S51" s="117">
        <v>0</v>
      </c>
      <c r="T51" s="1">
        <v>0</v>
      </c>
      <c r="U51" s="117">
        <v>-9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162"/>
      <c r="K52" s="2">
        <v>0</v>
      </c>
      <c r="L52" s="2">
        <v>-385</v>
      </c>
      <c r="M52" s="2">
        <v>-10</v>
      </c>
      <c r="N52" s="2">
        <v>0</v>
      </c>
      <c r="O52" s="117">
        <v>0</v>
      </c>
      <c r="P52" s="117">
        <v>0</v>
      </c>
      <c r="Q52" s="117">
        <v>-14</v>
      </c>
      <c r="R52" s="117">
        <v>-2</v>
      </c>
      <c r="S52" s="117">
        <v>0</v>
      </c>
      <c r="T52" s="1">
        <v>-44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162"/>
      <c r="K53" s="40">
        <v>0</v>
      </c>
      <c r="L53" s="40">
        <v>-140</v>
      </c>
      <c r="M53" s="40">
        <v>-18</v>
      </c>
      <c r="N53" s="40">
        <v>-2686</v>
      </c>
      <c r="O53" s="40">
        <v>0</v>
      </c>
      <c r="P53" s="40">
        <v>0</v>
      </c>
      <c r="Q53" s="40">
        <v>-178</v>
      </c>
      <c r="R53" s="40">
        <v>0</v>
      </c>
      <c r="S53" s="183">
        <v>-152</v>
      </c>
      <c r="T53" s="1">
        <v>0</v>
      </c>
      <c r="U53" s="183">
        <v>-116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26"/>
      <c r="K54" s="126">
        <f t="shared" ref="K54:N54" si="8">SUM(K42:K53)</f>
        <v>-11</v>
      </c>
      <c r="L54" s="126">
        <f t="shared" si="8"/>
        <v>-2952</v>
      </c>
      <c r="M54" s="126">
        <f t="shared" si="8"/>
        <v>-47445</v>
      </c>
      <c r="N54" s="126">
        <f t="shared" si="8"/>
        <v>-15472</v>
      </c>
      <c r="O54" s="96">
        <f>SUM(O42:O53)</f>
        <v>-185198</v>
      </c>
      <c r="P54" s="96">
        <f>SUM(P42:P53)</f>
        <v>-1483</v>
      </c>
      <c r="Q54" s="96">
        <f>SUM(Q42:Q53)</f>
        <v>-8566</v>
      </c>
      <c r="R54" s="126">
        <f t="shared" ref="R54" si="9">SUM(R42:R53)</f>
        <v>-1902</v>
      </c>
      <c r="S54" s="126">
        <f>SUM(S42:S53)</f>
        <v>-1386</v>
      </c>
      <c r="T54" s="126">
        <f t="shared" ref="T54" si="10">SUM(T42:T53)</f>
        <v>-366</v>
      </c>
      <c r="U54" s="126">
        <f>SUM(U42:U53)</f>
        <v>-21148</v>
      </c>
    </row>
    <row r="55" spans="1:21" x14ac:dyDescent="0.2">
      <c r="A55" s="25"/>
      <c r="H55" s="2"/>
    </row>
    <row r="56" spans="1:21" x14ac:dyDescent="0.2">
      <c r="A56" s="25"/>
    </row>
    <row r="57" spans="1:21" x14ac:dyDescent="0.2">
      <c r="A57" s="24" t="s">
        <v>146</v>
      </c>
      <c r="B57" s="148">
        <v>1.4999999999999999E-2</v>
      </c>
      <c r="D57" s="94" t="s">
        <v>204</v>
      </c>
      <c r="H57" s="2"/>
    </row>
    <row r="58" spans="1:21" x14ac:dyDescent="0.2">
      <c r="A58" s="25"/>
      <c r="B58" s="17">
        <v>2004</v>
      </c>
      <c r="C58" s="17">
        <v>2005</v>
      </c>
      <c r="D58" s="16">
        <v>2006</v>
      </c>
      <c r="E58" s="16">
        <v>2007</v>
      </c>
      <c r="F58" s="16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H59" s="2"/>
    </row>
    <row r="60" spans="1:21" x14ac:dyDescent="0.2">
      <c r="A60" s="26" t="s">
        <v>0</v>
      </c>
      <c r="B60" s="22"/>
      <c r="C60" s="22"/>
      <c r="D60" s="12"/>
      <c r="E60" s="12"/>
      <c r="F60" s="44"/>
      <c r="G60" s="59"/>
      <c r="H60" s="54"/>
      <c r="I60" s="2"/>
      <c r="J60" s="2"/>
      <c r="K60" s="2"/>
      <c r="L60" s="113">
        <v>37886</v>
      </c>
      <c r="M60" s="117">
        <v>39540</v>
      </c>
      <c r="N60" s="117">
        <v>40214</v>
      </c>
      <c r="O60" s="117">
        <v>39507</v>
      </c>
      <c r="P60" s="117">
        <v>42694</v>
      </c>
      <c r="Q60" s="117">
        <v>43188</v>
      </c>
      <c r="R60" s="117">
        <v>44187</v>
      </c>
      <c r="S60" s="1">
        <v>33261</v>
      </c>
      <c r="T60" s="1">
        <v>50885</v>
      </c>
      <c r="U60" s="1">
        <v>49148</v>
      </c>
    </row>
    <row r="61" spans="1:21" x14ac:dyDescent="0.2">
      <c r="A61" s="26" t="s">
        <v>1</v>
      </c>
      <c r="B61" s="22"/>
      <c r="C61" s="22"/>
      <c r="D61" s="12"/>
      <c r="E61" s="12"/>
      <c r="F61" s="44"/>
      <c r="G61" s="59"/>
      <c r="H61" s="54"/>
      <c r="I61" s="2"/>
      <c r="J61" s="2"/>
      <c r="K61" s="2"/>
      <c r="L61" s="116">
        <v>31447</v>
      </c>
      <c r="M61" s="117">
        <v>36679</v>
      </c>
      <c r="N61" s="117">
        <v>36545</v>
      </c>
      <c r="O61" s="117">
        <v>38424</v>
      </c>
      <c r="P61" s="117">
        <v>39806</v>
      </c>
      <c r="Q61" s="117">
        <v>36124</v>
      </c>
      <c r="R61" s="113">
        <v>38594</v>
      </c>
      <c r="S61" s="1">
        <v>36950</v>
      </c>
      <c r="T61" s="1">
        <v>45385</v>
      </c>
      <c r="U61" s="1">
        <v>49668</v>
      </c>
    </row>
    <row r="62" spans="1:21" x14ac:dyDescent="0.2">
      <c r="A62" s="26" t="s">
        <v>2</v>
      </c>
      <c r="B62" s="22"/>
      <c r="C62" s="22"/>
      <c r="D62" s="12"/>
      <c r="E62" s="12"/>
      <c r="F62" s="44"/>
      <c r="G62" s="59"/>
      <c r="H62" s="54"/>
      <c r="I62" s="2"/>
      <c r="J62" s="2"/>
      <c r="K62" s="2"/>
      <c r="L62" s="113">
        <v>31494</v>
      </c>
      <c r="M62" s="117">
        <v>36203</v>
      </c>
      <c r="N62" s="117">
        <v>36699</v>
      </c>
      <c r="O62" s="117">
        <v>36473</v>
      </c>
      <c r="P62" s="117">
        <v>37435</v>
      </c>
      <c r="Q62" s="117">
        <v>35287</v>
      </c>
      <c r="R62" s="113">
        <v>40188</v>
      </c>
      <c r="S62" s="1">
        <v>37735</v>
      </c>
      <c r="T62" s="1">
        <v>44866</v>
      </c>
      <c r="U62" s="1">
        <v>47869</v>
      </c>
    </row>
    <row r="63" spans="1:21" x14ac:dyDescent="0.2">
      <c r="A63" s="26" t="s">
        <v>3</v>
      </c>
      <c r="B63" s="22"/>
      <c r="C63" s="22"/>
      <c r="D63" s="12"/>
      <c r="E63" s="12"/>
      <c r="F63" s="44"/>
      <c r="G63" s="59"/>
      <c r="H63" s="54"/>
      <c r="I63" s="2"/>
      <c r="J63" s="2"/>
      <c r="K63" s="2"/>
      <c r="L63" s="113">
        <v>36759</v>
      </c>
      <c r="M63" s="117">
        <v>40804</v>
      </c>
      <c r="N63" s="117">
        <v>40368</v>
      </c>
      <c r="O63" s="117">
        <v>44380</v>
      </c>
      <c r="P63" s="117">
        <v>44781</v>
      </c>
      <c r="Q63" s="117">
        <v>44904</v>
      </c>
      <c r="R63" s="117">
        <v>33708</v>
      </c>
      <c r="S63" s="1">
        <v>47225</v>
      </c>
      <c r="T63" s="1">
        <v>52891</v>
      </c>
      <c r="U63" s="1">
        <v>52900</v>
      </c>
    </row>
    <row r="64" spans="1:21" x14ac:dyDescent="0.2">
      <c r="A64" s="26" t="s">
        <v>4</v>
      </c>
      <c r="B64" s="22"/>
      <c r="C64" s="22"/>
      <c r="D64" s="12"/>
      <c r="E64" s="12"/>
      <c r="F64" s="44"/>
      <c r="G64" s="59"/>
      <c r="H64" s="54"/>
      <c r="I64" s="2"/>
      <c r="J64" s="2"/>
      <c r="K64" s="2"/>
      <c r="L64" s="113">
        <v>35250</v>
      </c>
      <c r="M64" s="117">
        <v>39255</v>
      </c>
      <c r="N64" s="117">
        <v>41604</v>
      </c>
      <c r="O64" s="117">
        <v>41339</v>
      </c>
      <c r="P64" s="117">
        <v>40534</v>
      </c>
      <c r="Q64" s="117">
        <v>42656</v>
      </c>
      <c r="R64" s="117">
        <v>25940</v>
      </c>
      <c r="S64" s="1">
        <v>47222</v>
      </c>
      <c r="T64" s="1">
        <v>52455</v>
      </c>
      <c r="U64" s="1">
        <v>55190</v>
      </c>
    </row>
    <row r="65" spans="1:21" x14ac:dyDescent="0.2">
      <c r="A65" s="26" t="s">
        <v>5</v>
      </c>
      <c r="B65" s="22"/>
      <c r="C65" s="22"/>
      <c r="D65" s="12"/>
      <c r="E65" s="12"/>
      <c r="F65" s="44"/>
      <c r="G65" s="59"/>
      <c r="H65" s="54"/>
      <c r="I65" s="2"/>
      <c r="J65" s="2"/>
      <c r="K65" s="2"/>
      <c r="L65" s="113">
        <v>38289</v>
      </c>
      <c r="M65" s="117">
        <v>41400</v>
      </c>
      <c r="N65" s="117">
        <v>42310</v>
      </c>
      <c r="O65" s="117">
        <v>41873</v>
      </c>
      <c r="P65" s="117">
        <v>45790</v>
      </c>
      <c r="Q65" s="117">
        <v>50582</v>
      </c>
      <c r="R65" s="113">
        <v>32216</v>
      </c>
      <c r="S65" s="1">
        <v>49402</v>
      </c>
      <c r="T65" s="1">
        <v>65223</v>
      </c>
      <c r="U65" s="1">
        <v>59272</v>
      </c>
    </row>
    <row r="66" spans="1:21" x14ac:dyDescent="0.2">
      <c r="A66" s="26" t="s">
        <v>6</v>
      </c>
      <c r="B66" s="22"/>
      <c r="C66" s="22"/>
      <c r="D66" s="12"/>
      <c r="E66" s="12"/>
      <c r="F66" s="44"/>
      <c r="G66" s="59"/>
      <c r="H66" s="54"/>
      <c r="I66" s="2"/>
      <c r="J66" s="2"/>
      <c r="K66" s="2"/>
      <c r="L66" s="113">
        <v>34716</v>
      </c>
      <c r="M66" s="117">
        <v>38697</v>
      </c>
      <c r="N66" s="117">
        <v>39629</v>
      </c>
      <c r="O66" s="117">
        <v>40422</v>
      </c>
      <c r="P66" s="117">
        <v>55517</v>
      </c>
      <c r="Q66" s="117">
        <v>43408</v>
      </c>
      <c r="R66" s="1">
        <v>37006</v>
      </c>
      <c r="S66" s="1">
        <v>51534</v>
      </c>
      <c r="T66" s="1">
        <v>58034</v>
      </c>
      <c r="U66" s="1">
        <v>59702</v>
      </c>
    </row>
    <row r="67" spans="1:21" x14ac:dyDescent="0.2">
      <c r="A67" s="26" t="s">
        <v>7</v>
      </c>
      <c r="B67" s="22"/>
      <c r="C67" s="22"/>
      <c r="D67" s="12"/>
      <c r="E67" s="12"/>
      <c r="F67" s="44"/>
      <c r="G67" s="59"/>
      <c r="H67" s="54"/>
      <c r="I67" s="2"/>
      <c r="J67" s="2"/>
      <c r="K67" s="2">
        <v>29284</v>
      </c>
      <c r="L67" s="113">
        <v>43399</v>
      </c>
      <c r="M67" s="117">
        <v>43374</v>
      </c>
      <c r="N67" s="117">
        <v>45162</v>
      </c>
      <c r="O67" s="117">
        <v>44991</v>
      </c>
      <c r="P67" s="117">
        <v>47823</v>
      </c>
      <c r="Q67" s="117">
        <v>49229</v>
      </c>
      <c r="R67" s="1">
        <v>41508</v>
      </c>
      <c r="S67" s="1">
        <v>52598</v>
      </c>
      <c r="T67" s="1">
        <v>57657</v>
      </c>
      <c r="U67" s="1">
        <v>63001</v>
      </c>
    </row>
    <row r="68" spans="1:21" x14ac:dyDescent="0.2">
      <c r="A68" s="26" t="s">
        <v>8</v>
      </c>
      <c r="B68" s="22"/>
      <c r="C68" s="22"/>
      <c r="D68" s="12"/>
      <c r="E68" s="12"/>
      <c r="F68" s="44"/>
      <c r="G68" s="59"/>
      <c r="H68" s="54"/>
      <c r="I68" s="2"/>
      <c r="J68" s="2"/>
      <c r="K68" s="2">
        <v>34388</v>
      </c>
      <c r="L68" s="113">
        <v>40463</v>
      </c>
      <c r="M68" s="117">
        <v>40560</v>
      </c>
      <c r="N68" s="117">
        <v>42404</v>
      </c>
      <c r="O68" s="117">
        <v>43253</v>
      </c>
      <c r="P68" s="117">
        <v>45862</v>
      </c>
      <c r="Q68" s="117">
        <v>46575</v>
      </c>
      <c r="R68" s="2">
        <v>42170</v>
      </c>
      <c r="S68" s="1">
        <v>52408</v>
      </c>
      <c r="T68" s="1">
        <v>56503</v>
      </c>
      <c r="U68" s="1">
        <v>59442</v>
      </c>
    </row>
    <row r="69" spans="1:21" x14ac:dyDescent="0.2">
      <c r="A69" s="26" t="s">
        <v>9</v>
      </c>
      <c r="B69" s="22"/>
      <c r="C69" s="22"/>
      <c r="D69" s="12"/>
      <c r="E69" s="12"/>
      <c r="F69" s="44"/>
      <c r="G69" s="59"/>
      <c r="H69" s="54"/>
      <c r="I69" s="2"/>
      <c r="J69" s="2"/>
      <c r="K69" s="2">
        <v>36171</v>
      </c>
      <c r="L69" s="2">
        <v>38735</v>
      </c>
      <c r="M69" s="117">
        <v>40768</v>
      </c>
      <c r="N69" s="117">
        <v>41971</v>
      </c>
      <c r="O69" s="117">
        <v>43029</v>
      </c>
      <c r="P69" s="117">
        <v>44440</v>
      </c>
      <c r="Q69" s="117">
        <v>45149</v>
      </c>
      <c r="R69" s="1">
        <v>42036</v>
      </c>
      <c r="S69" s="1">
        <v>48936</v>
      </c>
      <c r="T69" s="1">
        <v>54259</v>
      </c>
      <c r="U69" s="1">
        <v>58523</v>
      </c>
    </row>
    <row r="70" spans="1:21" x14ac:dyDescent="0.2">
      <c r="A70" s="26" t="s">
        <v>10</v>
      </c>
      <c r="B70" s="22"/>
      <c r="C70" s="22"/>
      <c r="D70" s="12"/>
      <c r="E70" s="12"/>
      <c r="F70" s="44"/>
      <c r="G70" s="59"/>
      <c r="H70" s="54"/>
      <c r="I70" s="2"/>
      <c r="J70" s="2"/>
      <c r="K70" s="2">
        <v>36372</v>
      </c>
      <c r="L70" s="2">
        <v>39800</v>
      </c>
      <c r="M70" s="117">
        <v>41046</v>
      </c>
      <c r="N70" s="117">
        <v>42141</v>
      </c>
      <c r="O70" s="117">
        <v>44865</v>
      </c>
      <c r="P70" s="117">
        <v>47182</v>
      </c>
      <c r="Q70" s="117">
        <v>45756</v>
      </c>
      <c r="R70" s="1">
        <v>42550</v>
      </c>
      <c r="S70" s="1">
        <v>51366</v>
      </c>
      <c r="T70" s="1">
        <v>58066</v>
      </c>
      <c r="U70" s="1">
        <v>57537</v>
      </c>
    </row>
    <row r="71" spans="1:21" x14ac:dyDescent="0.2">
      <c r="A71" s="26" t="s">
        <v>11</v>
      </c>
      <c r="B71" s="23"/>
      <c r="C71" s="23"/>
      <c r="D71" s="23"/>
      <c r="E71" s="23"/>
      <c r="F71" s="56"/>
      <c r="G71" s="60"/>
      <c r="H71" s="61"/>
      <c r="I71" s="40"/>
      <c r="J71" s="40"/>
      <c r="K71" s="40">
        <v>32430</v>
      </c>
      <c r="L71" s="40">
        <v>36724</v>
      </c>
      <c r="M71" s="95">
        <v>39736</v>
      </c>
      <c r="N71" s="95">
        <v>39790</v>
      </c>
      <c r="O71" s="95">
        <v>40762</v>
      </c>
      <c r="P71" s="95">
        <v>42240</v>
      </c>
      <c r="Q71" s="95">
        <v>41879</v>
      </c>
      <c r="R71" s="1">
        <v>34843</v>
      </c>
      <c r="S71" s="1">
        <v>47880</v>
      </c>
      <c r="T71" s="1">
        <v>51383</v>
      </c>
      <c r="U71" s="1">
        <v>53946</v>
      </c>
    </row>
    <row r="72" spans="1:21" x14ac:dyDescent="0.2">
      <c r="A72" s="25"/>
      <c r="B72" s="14"/>
      <c r="C72" s="14"/>
      <c r="D72" s="14"/>
      <c r="E72" s="14"/>
      <c r="F72" s="44">
        <f t="shared" ref="F72:K72" si="11">SUM(F60:F71)</f>
        <v>0</v>
      </c>
      <c r="G72" s="44">
        <f t="shared" si="11"/>
        <v>0</v>
      </c>
      <c r="H72" s="44">
        <f t="shared" si="11"/>
        <v>0</v>
      </c>
      <c r="I72" s="44">
        <f t="shared" si="11"/>
        <v>0</v>
      </c>
      <c r="J72" s="44">
        <f t="shared" si="11"/>
        <v>0</v>
      </c>
      <c r="K72" s="44">
        <f t="shared" si="11"/>
        <v>168645</v>
      </c>
      <c r="L72" s="44">
        <f t="shared" ref="L72:Q72" si="12">SUM(L60:L71)</f>
        <v>444962</v>
      </c>
      <c r="M72" s="96">
        <f t="shared" si="12"/>
        <v>478062</v>
      </c>
      <c r="N72" s="96">
        <f t="shared" si="12"/>
        <v>488837</v>
      </c>
      <c r="O72" s="96">
        <f t="shared" si="12"/>
        <v>499318</v>
      </c>
      <c r="P72" s="96">
        <f t="shared" si="12"/>
        <v>534104</v>
      </c>
      <c r="Q72" s="96">
        <f t="shared" si="12"/>
        <v>524737</v>
      </c>
      <c r="R72" s="126">
        <f t="shared" ref="R72:S72" si="13">SUM(R60:R71)</f>
        <v>454946</v>
      </c>
      <c r="S72" s="126">
        <f t="shared" si="13"/>
        <v>556517</v>
      </c>
      <c r="T72" s="126">
        <f t="shared" ref="T72:U72" si="14">SUM(T60:T71)</f>
        <v>647607</v>
      </c>
      <c r="U72" s="126">
        <f t="shared" si="14"/>
        <v>666198</v>
      </c>
    </row>
  </sheetData>
  <pageMargins left="0.2" right="0.2" top="0" bottom="0" header="0.25" footer="0.5"/>
  <pageSetup scale="80" orientation="landscape" r:id="rId1"/>
  <headerFooter alignWithMargins="0">
    <oddHeader>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U54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10" width="5" bestFit="1" customWidth="1"/>
    <col min="11" max="11" width="7.7109375" bestFit="1" customWidth="1"/>
    <col min="12" max="19" width="9.28515625" bestFit="1" customWidth="1"/>
  </cols>
  <sheetData>
    <row r="2" spans="1:21" x14ac:dyDescent="0.2">
      <c r="A2" s="24" t="s">
        <v>144</v>
      </c>
      <c r="B2" s="148">
        <v>5.0000000000000001E-3</v>
      </c>
      <c r="D2" s="94" t="s">
        <v>189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104">
        <v>15074</v>
      </c>
      <c r="M5" s="117">
        <v>18564</v>
      </c>
      <c r="N5" s="117">
        <v>25125</v>
      </c>
      <c r="O5" s="117">
        <v>26198</v>
      </c>
      <c r="P5" s="117">
        <v>21140</v>
      </c>
      <c r="Q5" s="117">
        <v>43841</v>
      </c>
      <c r="R5" s="1">
        <v>22482</v>
      </c>
      <c r="S5" s="1">
        <v>27858</v>
      </c>
      <c r="T5" s="1">
        <v>36598</v>
      </c>
      <c r="U5" s="1">
        <v>24918</v>
      </c>
    </row>
    <row r="6" spans="1:21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4">
        <v>6149</v>
      </c>
      <c r="M6" s="117">
        <v>8822</v>
      </c>
      <c r="N6" s="117">
        <v>8657</v>
      </c>
      <c r="O6" s="117">
        <v>6858</v>
      </c>
      <c r="P6" s="117">
        <v>7594</v>
      </c>
      <c r="Q6" s="117">
        <v>7379</v>
      </c>
      <c r="R6" s="113">
        <v>7242</v>
      </c>
      <c r="S6" s="1">
        <v>8592</v>
      </c>
      <c r="T6" s="1">
        <v>9135</v>
      </c>
      <c r="U6" s="1">
        <v>11332</v>
      </c>
    </row>
    <row r="7" spans="1:21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5">
        <v>5438</v>
      </c>
      <c r="M7" s="117">
        <v>6814</v>
      </c>
      <c r="N7" s="117">
        <v>8750</v>
      </c>
      <c r="O7" s="117">
        <v>7897</v>
      </c>
      <c r="P7" s="117">
        <v>7819</v>
      </c>
      <c r="Q7" s="117">
        <v>6771</v>
      </c>
      <c r="R7" s="113">
        <v>6711</v>
      </c>
      <c r="S7" s="1">
        <v>7941</v>
      </c>
      <c r="T7" s="1">
        <v>6722</v>
      </c>
      <c r="U7" s="1">
        <v>7941</v>
      </c>
    </row>
    <row r="8" spans="1:21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4">
        <v>20270</v>
      </c>
      <c r="M8" s="117">
        <v>19760</v>
      </c>
      <c r="N8" s="117">
        <v>25036</v>
      </c>
      <c r="O8" s="117">
        <v>26367</v>
      </c>
      <c r="P8" s="117">
        <v>9398</v>
      </c>
      <c r="Q8" s="117">
        <v>27056</v>
      </c>
      <c r="R8" s="1">
        <v>22968</v>
      </c>
      <c r="S8" s="1">
        <v>29854</v>
      </c>
      <c r="T8" s="1">
        <v>28901</v>
      </c>
      <c r="U8" s="1">
        <v>29334</v>
      </c>
    </row>
    <row r="9" spans="1:21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5286</v>
      </c>
      <c r="L9" s="104">
        <v>6147</v>
      </c>
      <c r="M9" s="117">
        <v>8930</v>
      </c>
      <c r="N9" s="117">
        <v>8112</v>
      </c>
      <c r="O9" s="117">
        <v>9348</v>
      </c>
      <c r="P9" s="117">
        <v>21237</v>
      </c>
      <c r="Q9" s="117">
        <v>8308</v>
      </c>
      <c r="R9" s="117">
        <v>5993</v>
      </c>
      <c r="S9" s="1">
        <v>7380</v>
      </c>
      <c r="T9" s="1">
        <v>7219</v>
      </c>
      <c r="U9" s="1">
        <v>8422</v>
      </c>
    </row>
    <row r="10" spans="1:21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7143</v>
      </c>
      <c r="L10" s="104">
        <v>6489</v>
      </c>
      <c r="M10" s="117">
        <v>9631</v>
      </c>
      <c r="N10" s="117">
        <v>8073</v>
      </c>
      <c r="O10" s="117">
        <v>9540</v>
      </c>
      <c r="P10" s="117">
        <v>7827</v>
      </c>
      <c r="Q10" s="117">
        <v>8936</v>
      </c>
      <c r="R10" s="1">
        <v>11308</v>
      </c>
      <c r="S10" s="1">
        <v>16116</v>
      </c>
      <c r="T10" s="1">
        <v>9199</v>
      </c>
      <c r="U10" s="1">
        <v>11742</v>
      </c>
    </row>
    <row r="11" spans="1:21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17922</v>
      </c>
      <c r="L11" s="104">
        <v>15753</v>
      </c>
      <c r="M11" s="117">
        <v>21491</v>
      </c>
      <c r="N11" s="117">
        <v>29767</v>
      </c>
      <c r="O11" s="117">
        <v>17961</v>
      </c>
      <c r="P11" s="117">
        <v>7160</v>
      </c>
      <c r="Q11" s="117">
        <v>25238</v>
      </c>
      <c r="R11" s="1">
        <v>20334</v>
      </c>
      <c r="S11" s="1">
        <v>19077</v>
      </c>
      <c r="T11" s="1">
        <v>33725</v>
      </c>
      <c r="U11" s="1">
        <v>28718</v>
      </c>
    </row>
    <row r="12" spans="1:21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8911</v>
      </c>
      <c r="L12" s="104">
        <v>10822</v>
      </c>
      <c r="M12" s="117">
        <v>8528</v>
      </c>
      <c r="N12" s="117">
        <v>8882</v>
      </c>
      <c r="O12" s="117">
        <v>14660</v>
      </c>
      <c r="P12" s="117">
        <v>25575</v>
      </c>
      <c r="Q12" s="117">
        <v>9525</v>
      </c>
      <c r="R12" s="1">
        <v>10995</v>
      </c>
      <c r="S12" s="1">
        <v>11682</v>
      </c>
      <c r="T12" s="1">
        <v>8676</v>
      </c>
      <c r="U12" s="1">
        <v>10837</v>
      </c>
    </row>
    <row r="13" spans="1:21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8102</v>
      </c>
      <c r="L13" s="104">
        <v>9003</v>
      </c>
      <c r="M13" s="117">
        <v>9471</v>
      </c>
      <c r="N13" s="117">
        <v>9726</v>
      </c>
      <c r="O13" s="117">
        <v>9685</v>
      </c>
      <c r="P13" s="117">
        <v>9558</v>
      </c>
      <c r="Q13" s="117">
        <v>10000</v>
      </c>
      <c r="R13" s="2">
        <v>9115</v>
      </c>
      <c r="S13" s="1">
        <v>11510</v>
      </c>
      <c r="T13" s="1">
        <v>11630</v>
      </c>
      <c r="U13" s="1">
        <v>12513</v>
      </c>
    </row>
    <row r="14" spans="1:21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13203</v>
      </c>
      <c r="L14" s="104">
        <v>14710</v>
      </c>
      <c r="M14" s="117">
        <v>15016</v>
      </c>
      <c r="N14" s="117">
        <v>28574</v>
      </c>
      <c r="O14" s="117">
        <v>24863</v>
      </c>
      <c r="P14" s="117">
        <v>8498</v>
      </c>
      <c r="Q14" s="117">
        <v>26729</v>
      </c>
      <c r="R14" s="1">
        <v>24646</v>
      </c>
      <c r="S14" s="1">
        <v>21105</v>
      </c>
      <c r="T14" s="1">
        <v>27078</v>
      </c>
      <c r="U14" s="1">
        <v>25994</v>
      </c>
    </row>
    <row r="15" spans="1:21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6824</v>
      </c>
      <c r="L15" s="104">
        <v>8963</v>
      </c>
      <c r="M15" s="117">
        <v>9365</v>
      </c>
      <c r="N15" s="117">
        <v>7996</v>
      </c>
      <c r="O15" s="117">
        <v>8987</v>
      </c>
      <c r="P15" s="117">
        <v>9084</v>
      </c>
      <c r="Q15" s="117">
        <v>8825</v>
      </c>
      <c r="R15" s="1">
        <v>8540</v>
      </c>
      <c r="S15" s="1">
        <v>10846</v>
      </c>
      <c r="T15" s="1">
        <v>11588</v>
      </c>
      <c r="U15" s="1">
        <v>7875</v>
      </c>
    </row>
    <row r="16" spans="1:21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8334</v>
      </c>
      <c r="L16" s="95">
        <v>9281</v>
      </c>
      <c r="M16" s="95">
        <v>10176</v>
      </c>
      <c r="N16" s="95">
        <v>9464</v>
      </c>
      <c r="O16" s="95">
        <v>9847</v>
      </c>
      <c r="P16" s="95">
        <v>9500</v>
      </c>
      <c r="Q16" s="95">
        <v>8323</v>
      </c>
      <c r="R16" s="1">
        <v>8051</v>
      </c>
      <c r="S16" s="1">
        <v>12161</v>
      </c>
      <c r="T16" s="1">
        <v>10251</v>
      </c>
      <c r="U16" s="1">
        <v>8962</v>
      </c>
    </row>
    <row r="17" spans="1:21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75725</v>
      </c>
      <c r="L17" s="96">
        <f t="shared" si="0"/>
        <v>128099</v>
      </c>
      <c r="M17" s="96">
        <f t="shared" ref="M17:Q17" si="1">SUM(M5:M16)</f>
        <v>146568</v>
      </c>
      <c r="N17" s="96">
        <f t="shared" si="1"/>
        <v>178162</v>
      </c>
      <c r="O17" s="96">
        <f t="shared" si="1"/>
        <v>172211</v>
      </c>
      <c r="P17" s="96">
        <f t="shared" si="1"/>
        <v>144390</v>
      </c>
      <c r="Q17" s="96">
        <f t="shared" si="1"/>
        <v>190931</v>
      </c>
      <c r="R17" s="126">
        <f t="shared" ref="R17:S17" si="2">SUM(R5:R16)</f>
        <v>158385</v>
      </c>
      <c r="S17" s="126">
        <f t="shared" si="2"/>
        <v>184122</v>
      </c>
      <c r="T17" s="126">
        <f t="shared" ref="T17:U17" si="3">SUM(T5:T16)</f>
        <v>200722</v>
      </c>
      <c r="U17" s="126">
        <f t="shared" si="3"/>
        <v>188588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H19" s="2"/>
      <c r="L19" s="94"/>
    </row>
    <row r="20" spans="1:21" x14ac:dyDescent="0.2">
      <c r="H20" s="2"/>
      <c r="L20" s="94"/>
    </row>
    <row r="21" spans="1:21" x14ac:dyDescent="0.2">
      <c r="A21" s="24" t="s">
        <v>145</v>
      </c>
      <c r="B21" s="148">
        <v>5.0000000000000001E-3</v>
      </c>
      <c r="D21" s="94" t="s">
        <v>189</v>
      </c>
      <c r="H21" s="2"/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104">
        <v>243</v>
      </c>
      <c r="M24" s="117">
        <v>173</v>
      </c>
      <c r="N24" s="117">
        <v>164</v>
      </c>
      <c r="O24" s="117">
        <v>894</v>
      </c>
      <c r="P24" s="117">
        <v>439</v>
      </c>
      <c r="Q24" s="117">
        <v>499</v>
      </c>
      <c r="R24" s="117">
        <v>144</v>
      </c>
      <c r="S24" s="117">
        <v>190</v>
      </c>
      <c r="T24" s="1">
        <v>115</v>
      </c>
      <c r="U24" s="1">
        <v>1439</v>
      </c>
    </row>
    <row r="25" spans="1:21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104">
        <v>84</v>
      </c>
      <c r="M25" s="117">
        <v>40</v>
      </c>
      <c r="N25" s="117">
        <v>322</v>
      </c>
      <c r="O25" s="117">
        <v>73</v>
      </c>
      <c r="P25" s="117">
        <v>112</v>
      </c>
      <c r="Q25" s="117">
        <v>771</v>
      </c>
      <c r="R25" s="113">
        <v>82</v>
      </c>
      <c r="S25" s="117">
        <v>90</v>
      </c>
      <c r="T25" s="1">
        <v>285</v>
      </c>
      <c r="U25" s="117">
        <v>65</v>
      </c>
    </row>
    <row r="26" spans="1:21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4">
        <v>54</v>
      </c>
      <c r="M26" s="117">
        <v>51</v>
      </c>
      <c r="N26" s="117">
        <v>182</v>
      </c>
      <c r="O26" s="117">
        <v>104</v>
      </c>
      <c r="P26" s="117">
        <v>111</v>
      </c>
      <c r="Q26" s="117">
        <v>118</v>
      </c>
      <c r="R26" s="117">
        <v>144</v>
      </c>
      <c r="S26" s="117">
        <v>102</v>
      </c>
      <c r="T26" s="1">
        <v>52</v>
      </c>
      <c r="U26" s="117">
        <v>63</v>
      </c>
    </row>
    <row r="27" spans="1:21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104">
        <v>96</v>
      </c>
      <c r="M27" s="117">
        <v>667</v>
      </c>
      <c r="N27" s="117">
        <v>113</v>
      </c>
      <c r="O27" s="117">
        <v>221</v>
      </c>
      <c r="P27" s="117">
        <v>149</v>
      </c>
      <c r="Q27" s="117">
        <v>272</v>
      </c>
      <c r="R27" s="117">
        <v>119</v>
      </c>
      <c r="S27" s="117">
        <v>121</v>
      </c>
      <c r="T27" s="1">
        <v>124</v>
      </c>
      <c r="U27" s="117">
        <v>76</v>
      </c>
    </row>
    <row r="28" spans="1:21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1552</v>
      </c>
      <c r="L28" s="104">
        <v>45</v>
      </c>
      <c r="M28" s="117">
        <v>202</v>
      </c>
      <c r="N28" s="117">
        <v>2663</v>
      </c>
      <c r="O28" s="117">
        <v>103</v>
      </c>
      <c r="P28" s="117">
        <v>94</v>
      </c>
      <c r="Q28" s="117">
        <v>75</v>
      </c>
      <c r="R28" s="117">
        <v>46</v>
      </c>
      <c r="S28" s="117">
        <v>73</v>
      </c>
      <c r="T28" s="1">
        <v>109</v>
      </c>
      <c r="U28" s="117">
        <v>49</v>
      </c>
    </row>
    <row r="29" spans="1:21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989</v>
      </c>
      <c r="L29" s="104">
        <v>87</v>
      </c>
      <c r="M29" s="117">
        <v>138</v>
      </c>
      <c r="N29" s="117">
        <v>408</v>
      </c>
      <c r="O29" s="117">
        <v>97</v>
      </c>
      <c r="P29" s="117">
        <v>95</v>
      </c>
      <c r="Q29" s="117">
        <v>396</v>
      </c>
      <c r="R29" s="117">
        <v>52</v>
      </c>
      <c r="S29" s="117">
        <v>90</v>
      </c>
      <c r="T29" s="1">
        <v>102</v>
      </c>
      <c r="U29" s="117">
        <v>157</v>
      </c>
    </row>
    <row r="30" spans="1:21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861</v>
      </c>
      <c r="L30" s="104">
        <v>165</v>
      </c>
      <c r="M30" s="117">
        <v>458</v>
      </c>
      <c r="N30" s="117">
        <v>260</v>
      </c>
      <c r="O30" s="117">
        <v>108</v>
      </c>
      <c r="P30" s="117">
        <v>424</v>
      </c>
      <c r="Q30" s="117">
        <v>97</v>
      </c>
      <c r="R30" s="1">
        <v>163</v>
      </c>
      <c r="S30" s="117">
        <v>52</v>
      </c>
      <c r="T30" s="1">
        <v>74</v>
      </c>
      <c r="U30" s="117">
        <v>69</v>
      </c>
    </row>
    <row r="31" spans="1:21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993</v>
      </c>
      <c r="L31" s="104">
        <v>158</v>
      </c>
      <c r="M31" s="117">
        <v>56</v>
      </c>
      <c r="N31" s="117">
        <v>106</v>
      </c>
      <c r="O31" s="117">
        <v>99</v>
      </c>
      <c r="P31" s="117">
        <v>75</v>
      </c>
      <c r="Q31" s="117">
        <v>85</v>
      </c>
      <c r="R31" s="117">
        <v>76</v>
      </c>
      <c r="S31" s="117">
        <v>109</v>
      </c>
      <c r="T31" s="1">
        <v>62</v>
      </c>
      <c r="U31" s="117">
        <v>121</v>
      </c>
    </row>
    <row r="32" spans="1:21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355</v>
      </c>
      <c r="L32" s="104">
        <v>274</v>
      </c>
      <c r="M32" s="117">
        <v>63</v>
      </c>
      <c r="N32" s="117">
        <v>131</v>
      </c>
      <c r="O32" s="117">
        <v>111</v>
      </c>
      <c r="P32" s="117">
        <v>99</v>
      </c>
      <c r="Q32" s="117">
        <v>107</v>
      </c>
      <c r="R32" s="2">
        <v>149</v>
      </c>
      <c r="S32" s="117">
        <v>47</v>
      </c>
      <c r="T32" s="1">
        <v>-77</v>
      </c>
      <c r="U32" s="117">
        <v>56</v>
      </c>
    </row>
    <row r="33" spans="1:21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695</v>
      </c>
      <c r="L33" s="104">
        <v>271</v>
      </c>
      <c r="M33" s="117">
        <v>164</v>
      </c>
      <c r="N33" s="117">
        <v>138</v>
      </c>
      <c r="O33" s="117">
        <v>172</v>
      </c>
      <c r="P33" s="117">
        <v>249</v>
      </c>
      <c r="Q33" s="117">
        <v>92</v>
      </c>
      <c r="R33" s="117">
        <v>281</v>
      </c>
      <c r="S33" s="117">
        <v>45</v>
      </c>
      <c r="T33" s="1">
        <v>71</v>
      </c>
      <c r="U33" s="117">
        <v>69</v>
      </c>
    </row>
    <row r="34" spans="1:21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402</v>
      </c>
      <c r="L34" s="104">
        <v>203</v>
      </c>
      <c r="M34" s="117">
        <v>178</v>
      </c>
      <c r="N34" s="117">
        <v>146</v>
      </c>
      <c r="O34" s="117">
        <v>135</v>
      </c>
      <c r="P34" s="117">
        <v>112</v>
      </c>
      <c r="Q34" s="117">
        <v>80</v>
      </c>
      <c r="R34" s="1">
        <v>86</v>
      </c>
      <c r="S34" s="117">
        <v>188</v>
      </c>
      <c r="T34" s="1">
        <v>69</v>
      </c>
      <c r="U34" s="117">
        <v>204</v>
      </c>
    </row>
    <row r="35" spans="1:21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238</v>
      </c>
      <c r="L35" s="95">
        <v>481</v>
      </c>
      <c r="M35" s="95">
        <v>46</v>
      </c>
      <c r="N35" s="95">
        <v>95</v>
      </c>
      <c r="O35" s="95">
        <v>131</v>
      </c>
      <c r="P35" s="95">
        <v>155</v>
      </c>
      <c r="Q35" s="95">
        <v>73</v>
      </c>
      <c r="R35" s="95">
        <v>120</v>
      </c>
      <c r="S35" s="162">
        <v>67</v>
      </c>
      <c r="T35" s="1">
        <v>132</v>
      </c>
      <c r="U35" s="162">
        <v>93</v>
      </c>
    </row>
    <row r="36" spans="1:21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 t="shared" si="4"/>
        <v>6085</v>
      </c>
      <c r="L36" s="96">
        <f t="shared" ref="L36:Q36" si="5">SUM(L24:L35)</f>
        <v>2161</v>
      </c>
      <c r="M36" s="96">
        <f t="shared" si="5"/>
        <v>2236</v>
      </c>
      <c r="N36" s="96">
        <f t="shared" si="5"/>
        <v>4728</v>
      </c>
      <c r="O36" s="96">
        <f t="shared" si="5"/>
        <v>2248</v>
      </c>
      <c r="P36" s="96">
        <f t="shared" si="5"/>
        <v>2114</v>
      </c>
      <c r="Q36" s="96">
        <f t="shared" si="5"/>
        <v>2665</v>
      </c>
      <c r="R36" s="126">
        <f t="shared" ref="R36:S36" si="6">SUM(R24:R35)</f>
        <v>1462</v>
      </c>
      <c r="S36" s="126">
        <f t="shared" si="6"/>
        <v>1174</v>
      </c>
      <c r="T36" s="126">
        <f t="shared" ref="T36:U36" si="7">SUM(T24:T35)</f>
        <v>1118</v>
      </c>
      <c r="U36" s="126">
        <f t="shared" si="7"/>
        <v>2461</v>
      </c>
    </row>
    <row r="37" spans="1:21" x14ac:dyDescent="0.2">
      <c r="A37" s="25"/>
      <c r="G37" s="7"/>
      <c r="H37" s="2"/>
      <c r="L37" s="94"/>
    </row>
    <row r="38" spans="1:21" x14ac:dyDescent="0.2">
      <c r="A38" s="25"/>
      <c r="H38" s="2"/>
    </row>
    <row r="39" spans="1:21" x14ac:dyDescent="0.2">
      <c r="A39" s="29" t="s">
        <v>271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159"/>
      <c r="G42" s="159"/>
      <c r="H42" s="104"/>
      <c r="I42" s="104"/>
      <c r="J42" s="104"/>
      <c r="K42" s="2"/>
      <c r="L42" s="2">
        <v>0</v>
      </c>
      <c r="M42" s="2">
        <v>0</v>
      </c>
      <c r="N42" s="2">
        <v>0</v>
      </c>
      <c r="O42" s="117">
        <v>0</v>
      </c>
      <c r="P42" s="117">
        <v>-419</v>
      </c>
      <c r="Q42" s="117">
        <v>0</v>
      </c>
      <c r="R42" s="117">
        <v>0</v>
      </c>
      <c r="S42" s="117">
        <v>0</v>
      </c>
      <c r="T42" s="1">
        <v>-370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159"/>
      <c r="G43" s="159"/>
      <c r="H43" s="104"/>
      <c r="I43" s="104"/>
      <c r="J43" s="104"/>
      <c r="K43" s="2"/>
      <c r="L43" s="2">
        <v>0</v>
      </c>
      <c r="M43" s="2">
        <v>0</v>
      </c>
      <c r="N43" s="2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159"/>
      <c r="G44" s="159"/>
      <c r="H44" s="104"/>
      <c r="I44" s="104"/>
      <c r="J44" s="104"/>
      <c r="K44" s="2"/>
      <c r="L44" s="2">
        <v>0</v>
      </c>
      <c r="M44" s="2">
        <v>0</v>
      </c>
      <c r="N44" s="2">
        <v>-2046</v>
      </c>
      <c r="O44" s="117">
        <v>-196</v>
      </c>
      <c r="P44" s="117">
        <v>0</v>
      </c>
      <c r="Q44" s="117">
        <v>0</v>
      </c>
      <c r="R44" s="117">
        <v>-80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159"/>
      <c r="G45" s="159"/>
      <c r="H45" s="104"/>
      <c r="I45" s="104"/>
      <c r="J45" s="104"/>
      <c r="K45" s="2"/>
      <c r="L45" s="2">
        <v>0</v>
      </c>
      <c r="M45" s="2">
        <v>-1</v>
      </c>
      <c r="N45" s="2">
        <v>-926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159"/>
      <c r="G46" s="159"/>
      <c r="H46" s="104"/>
      <c r="I46" s="104"/>
      <c r="J46" s="104"/>
      <c r="K46" s="2">
        <v>0</v>
      </c>
      <c r="L46" s="2">
        <v>0</v>
      </c>
      <c r="M46" s="2">
        <v>0</v>
      </c>
      <c r="N46" s="2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-454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159"/>
      <c r="G47" s="152"/>
      <c r="H47" s="104"/>
      <c r="I47" s="104"/>
      <c r="J47" s="104"/>
      <c r="K47" s="2">
        <v>0</v>
      </c>
      <c r="L47" s="2">
        <v>0</v>
      </c>
      <c r="M47" s="2">
        <v>0</v>
      </c>
      <c r="N47" s="2">
        <v>0</v>
      </c>
      <c r="O47" s="117">
        <v>-179</v>
      </c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159"/>
      <c r="G48" s="152"/>
      <c r="H48" s="104"/>
      <c r="I48" s="104"/>
      <c r="J48" s="104"/>
      <c r="K48" s="2">
        <v>0</v>
      </c>
      <c r="L48" s="2">
        <v>0</v>
      </c>
      <c r="M48" s="2">
        <v>0</v>
      </c>
      <c r="N48" s="2">
        <v>-300</v>
      </c>
      <c r="O48" s="117">
        <v>0</v>
      </c>
      <c r="P48" s="117">
        <v>0</v>
      </c>
      <c r="Q48" s="117">
        <v>0</v>
      </c>
      <c r="R48" s="1">
        <v>-80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159"/>
      <c r="G49" s="152"/>
      <c r="H49" s="104"/>
      <c r="I49" s="104"/>
      <c r="J49" s="104"/>
      <c r="K49" s="2">
        <v>0</v>
      </c>
      <c r="L49" s="2">
        <v>0</v>
      </c>
      <c r="M49" s="2">
        <v>0</v>
      </c>
      <c r="N49" s="2">
        <v>0</v>
      </c>
      <c r="O49" s="117">
        <v>0</v>
      </c>
      <c r="P49" s="117">
        <v>-550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159"/>
      <c r="G50" s="152"/>
      <c r="H50" s="104"/>
      <c r="I50" s="104"/>
      <c r="J50" s="104"/>
      <c r="K50" s="2">
        <v>0</v>
      </c>
      <c r="L50" s="2">
        <v>0</v>
      </c>
      <c r="M50" s="2">
        <v>0</v>
      </c>
      <c r="N50" s="2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159"/>
      <c r="G51" s="152"/>
      <c r="H51" s="104"/>
      <c r="I51" s="104"/>
      <c r="J51" s="104"/>
      <c r="K51" s="2">
        <v>0</v>
      </c>
      <c r="L51" s="2">
        <v>0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161"/>
      <c r="G52" s="80"/>
      <c r="H52" s="162"/>
      <c r="I52" s="162"/>
      <c r="J52" s="162"/>
      <c r="K52" s="2">
        <v>0</v>
      </c>
      <c r="L52" s="2">
        <v>0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162"/>
      <c r="G53" s="162"/>
      <c r="H53" s="162"/>
      <c r="I53" s="162"/>
      <c r="J53" s="162"/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3">
        <v>0</v>
      </c>
      <c r="T53" s="1">
        <v>0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/>
      <c r="G54" s="126"/>
      <c r="H54" s="126"/>
      <c r="I54" s="126"/>
      <c r="J54" s="126"/>
      <c r="K54" s="126">
        <f t="shared" ref="K54:N54" si="8">SUM(K42:K53)</f>
        <v>0</v>
      </c>
      <c r="L54" s="126">
        <f t="shared" si="8"/>
        <v>0</v>
      </c>
      <c r="M54" s="126">
        <f t="shared" si="8"/>
        <v>-1</v>
      </c>
      <c r="N54" s="126">
        <f t="shared" si="8"/>
        <v>-3272</v>
      </c>
      <c r="O54" s="96">
        <f>SUM(O42:O53)</f>
        <v>-375</v>
      </c>
      <c r="P54" s="96">
        <f>SUM(P42:P53)</f>
        <v>-969</v>
      </c>
      <c r="Q54" s="96">
        <f>SUM(Q42:Q53)</f>
        <v>0</v>
      </c>
      <c r="R54" s="126">
        <f t="shared" ref="R54" si="9">SUM(R42:R53)</f>
        <v>-160</v>
      </c>
      <c r="S54" s="126">
        <f>SUM(S42:S53)</f>
        <v>0</v>
      </c>
      <c r="T54" s="126">
        <f t="shared" ref="T54" si="10">SUM(T42:T53)</f>
        <v>-824</v>
      </c>
      <c r="U54" s="126">
        <f>SUM(U42:U53)</f>
        <v>0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" customWidth="1"/>
    <col min="5" max="5" width="5" bestFit="1" customWidth="1"/>
    <col min="6" max="6" width="5" customWidth="1"/>
    <col min="7" max="7" width="5.7109375" bestFit="1" customWidth="1"/>
    <col min="8" max="11" width="5" bestFit="1" customWidth="1"/>
    <col min="12" max="15" width="10.7109375" bestFit="1" customWidth="1"/>
    <col min="16" max="18" width="11.7109375" bestFit="1" customWidth="1"/>
    <col min="19" max="19" width="11.7109375" customWidth="1"/>
    <col min="20" max="21" width="11.7109375" bestFit="1" customWidth="1"/>
  </cols>
  <sheetData>
    <row r="1" spans="1:21" x14ac:dyDescent="0.2">
      <c r="A1" s="121" t="s">
        <v>158</v>
      </c>
    </row>
    <row r="2" spans="1:21" x14ac:dyDescent="0.2">
      <c r="A2" s="24" t="s">
        <v>84</v>
      </c>
      <c r="B2" s="6">
        <v>5.0000000000000001E-3</v>
      </c>
      <c r="D2" s="94" t="s">
        <v>292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>
        <v>67</v>
      </c>
      <c r="M5" s="117">
        <v>536126</v>
      </c>
      <c r="N5" s="117">
        <v>583655</v>
      </c>
      <c r="O5" s="117">
        <v>595402</v>
      </c>
      <c r="P5" s="117">
        <v>1152576</v>
      </c>
      <c r="Q5" s="117">
        <v>1011996</v>
      </c>
      <c r="R5" s="1">
        <v>1284000</v>
      </c>
      <c r="S5" s="1">
        <v>1301338</v>
      </c>
      <c r="T5" s="1">
        <v>1406059</v>
      </c>
      <c r="U5" s="1">
        <v>1518483</v>
      </c>
    </row>
    <row r="6" spans="1:21" x14ac:dyDescent="0.2">
      <c r="A6" s="26" t="s">
        <v>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>
        <v>310569</v>
      </c>
      <c r="M6" s="117">
        <v>407720</v>
      </c>
      <c r="N6" s="117">
        <v>440644</v>
      </c>
      <c r="O6" s="117">
        <v>441381</v>
      </c>
      <c r="P6" s="117">
        <v>892276</v>
      </c>
      <c r="Q6" s="117">
        <v>945331</v>
      </c>
      <c r="R6" s="1">
        <v>1054024</v>
      </c>
      <c r="S6" s="1">
        <v>1013124</v>
      </c>
      <c r="T6" s="1">
        <v>1184068</v>
      </c>
      <c r="U6" s="1">
        <v>1197700</v>
      </c>
    </row>
    <row r="7" spans="1:21" x14ac:dyDescent="0.2">
      <c r="A7" s="26" t="s">
        <v>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>
        <v>318125</v>
      </c>
      <c r="M7" s="117">
        <v>395357</v>
      </c>
      <c r="N7" s="117">
        <v>425930</v>
      </c>
      <c r="O7" s="117">
        <v>407232</v>
      </c>
      <c r="P7" s="117">
        <v>847092</v>
      </c>
      <c r="Q7" s="117">
        <v>859309</v>
      </c>
      <c r="R7" s="1">
        <v>971180</v>
      </c>
      <c r="S7" s="1">
        <v>997150</v>
      </c>
      <c r="T7" s="1">
        <v>1123042</v>
      </c>
      <c r="U7" s="1">
        <v>1190276</v>
      </c>
    </row>
    <row r="8" spans="1:21" x14ac:dyDescent="0.2">
      <c r="A8" s="26" t="s">
        <v>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>
        <v>389150</v>
      </c>
      <c r="M8" s="117">
        <v>467632</v>
      </c>
      <c r="N8" s="117">
        <v>514617</v>
      </c>
      <c r="O8" s="117">
        <v>496127</v>
      </c>
      <c r="P8" s="117">
        <v>1007159</v>
      </c>
      <c r="Q8" s="117">
        <v>1068536</v>
      </c>
      <c r="R8" s="1">
        <v>994143</v>
      </c>
      <c r="S8" s="1">
        <v>1257773</v>
      </c>
      <c r="T8" s="1">
        <v>1451156</v>
      </c>
      <c r="U8" s="1">
        <v>1523273</v>
      </c>
    </row>
    <row r="9" spans="1:21" x14ac:dyDescent="0.2">
      <c r="A9" s="26" t="s">
        <v>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>
        <v>385642</v>
      </c>
      <c r="M9" s="117">
        <v>464136</v>
      </c>
      <c r="N9" s="117">
        <v>485999</v>
      </c>
      <c r="O9" s="117">
        <v>456334</v>
      </c>
      <c r="P9" s="117">
        <v>960043</v>
      </c>
      <c r="Q9" s="117">
        <v>1085051</v>
      </c>
      <c r="R9" s="1">
        <v>866548</v>
      </c>
      <c r="S9" s="1">
        <v>1222997</v>
      </c>
      <c r="T9" s="1">
        <v>1253553</v>
      </c>
      <c r="U9" s="1">
        <v>1360547</v>
      </c>
    </row>
    <row r="10" spans="1:21" x14ac:dyDescent="0.2">
      <c r="A10" s="26" t="s">
        <v>5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>
        <v>415585</v>
      </c>
      <c r="M10" s="117">
        <v>495062</v>
      </c>
      <c r="N10" s="117">
        <v>513520</v>
      </c>
      <c r="O10" s="117">
        <v>528955</v>
      </c>
      <c r="P10" s="117">
        <v>1129345</v>
      </c>
      <c r="Q10" s="117">
        <v>1234509</v>
      </c>
      <c r="R10" s="1">
        <v>1058291</v>
      </c>
      <c r="S10" s="1">
        <v>1288168</v>
      </c>
      <c r="T10" s="1">
        <v>1679396</v>
      </c>
      <c r="U10" s="1">
        <v>1532033</v>
      </c>
    </row>
    <row r="11" spans="1:21" x14ac:dyDescent="0.2">
      <c r="A11" s="26" t="s">
        <v>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>
        <v>406565</v>
      </c>
      <c r="M11" s="117">
        <v>448815</v>
      </c>
      <c r="N11" s="117">
        <v>453774</v>
      </c>
      <c r="O11" s="117">
        <v>483134</v>
      </c>
      <c r="P11" s="117">
        <v>981416</v>
      </c>
      <c r="Q11" s="117">
        <v>1113449</v>
      </c>
      <c r="R11" s="1">
        <v>1068657</v>
      </c>
      <c r="S11" s="1">
        <v>1352321</v>
      </c>
      <c r="T11" s="1">
        <v>1446652</v>
      </c>
      <c r="U11" s="1">
        <v>1616578</v>
      </c>
    </row>
    <row r="12" spans="1:21" x14ac:dyDescent="0.2">
      <c r="A12" s="26" t="s">
        <v>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>
        <v>461330</v>
      </c>
      <c r="M12" s="117">
        <v>598731</v>
      </c>
      <c r="N12" s="117">
        <v>615972</v>
      </c>
      <c r="O12" s="117">
        <v>1144503</v>
      </c>
      <c r="P12" s="117">
        <v>1299331</v>
      </c>
      <c r="Q12" s="117">
        <v>1307231</v>
      </c>
      <c r="R12" s="1">
        <v>1309993</v>
      </c>
      <c r="S12" s="1">
        <v>1456914</v>
      </c>
      <c r="T12" s="1">
        <v>1438169</v>
      </c>
      <c r="U12" s="1">
        <v>1432413</v>
      </c>
    </row>
    <row r="13" spans="1:21" x14ac:dyDescent="0.2">
      <c r="A13" s="26" t="s">
        <v>8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>
        <v>439792</v>
      </c>
      <c r="M13" s="117">
        <v>510278</v>
      </c>
      <c r="N13" s="117">
        <v>534889</v>
      </c>
      <c r="O13" s="117">
        <v>1082387</v>
      </c>
      <c r="P13" s="117">
        <v>1142316</v>
      </c>
      <c r="Q13" s="117">
        <v>1180026</v>
      </c>
      <c r="R13" s="2">
        <v>1157997</v>
      </c>
      <c r="S13" s="1">
        <v>1291105</v>
      </c>
      <c r="T13" s="1">
        <v>1488589</v>
      </c>
      <c r="U13" s="1">
        <v>1520269</v>
      </c>
    </row>
    <row r="14" spans="1:21" x14ac:dyDescent="0.2">
      <c r="A14" s="26" t="s">
        <v>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>
        <v>484872</v>
      </c>
      <c r="M14" s="117">
        <v>527046</v>
      </c>
      <c r="N14" s="117">
        <v>542373</v>
      </c>
      <c r="O14" s="117">
        <v>1099841</v>
      </c>
      <c r="P14" s="117">
        <v>1088105</v>
      </c>
      <c r="Q14" s="117">
        <v>1176167</v>
      </c>
      <c r="R14" s="1">
        <v>1171327</v>
      </c>
      <c r="S14" s="1">
        <v>1333495</v>
      </c>
      <c r="T14" s="1">
        <v>1459466</v>
      </c>
      <c r="U14" s="1">
        <v>1470062</v>
      </c>
    </row>
    <row r="15" spans="1:21" x14ac:dyDescent="0.2">
      <c r="A15" s="26" t="s">
        <v>10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>
        <v>468811</v>
      </c>
      <c r="M15" s="117">
        <v>507978</v>
      </c>
      <c r="N15" s="117">
        <v>521814</v>
      </c>
      <c r="O15" s="117">
        <v>1023536</v>
      </c>
      <c r="P15" s="117">
        <v>1121962</v>
      </c>
      <c r="Q15" s="117">
        <v>1191418</v>
      </c>
      <c r="R15" s="1">
        <v>1102766</v>
      </c>
      <c r="S15" s="1">
        <v>1236280</v>
      </c>
      <c r="T15" s="1">
        <v>1403576</v>
      </c>
      <c r="U15" s="1">
        <v>1508638</v>
      </c>
    </row>
    <row r="16" spans="1:21" x14ac:dyDescent="0.2">
      <c r="A16" s="26" t="s">
        <v>11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>
        <v>450255</v>
      </c>
      <c r="M16" s="95">
        <v>470427</v>
      </c>
      <c r="N16" s="95">
        <v>485646</v>
      </c>
      <c r="O16" s="95">
        <v>1041362</v>
      </c>
      <c r="P16" s="95">
        <v>1321353</v>
      </c>
      <c r="Q16" s="95">
        <v>1134775</v>
      </c>
      <c r="R16" s="1">
        <v>1152733</v>
      </c>
      <c r="S16" s="1">
        <v>1276947</v>
      </c>
      <c r="T16" s="1">
        <v>1582708</v>
      </c>
      <c r="U16" s="1">
        <v>1429181</v>
      </c>
    </row>
    <row r="17" spans="1:21" x14ac:dyDescent="0.2">
      <c r="A17" s="25"/>
      <c r="B17" s="122"/>
      <c r="C17" s="123"/>
      <c r="D17" s="123"/>
      <c r="E17" s="123"/>
      <c r="F17" s="124"/>
      <c r="G17" s="124"/>
      <c r="H17" s="125"/>
      <c r="I17" s="125"/>
      <c r="J17" s="125"/>
      <c r="K17" s="125"/>
      <c r="L17" s="126">
        <f t="shared" ref="L17" si="0">SUM(L5:L16)</f>
        <v>4530763</v>
      </c>
      <c r="M17" s="96">
        <f t="shared" ref="M17:Q17" si="1">SUM(M5:M16)</f>
        <v>5829308</v>
      </c>
      <c r="N17" s="96">
        <f t="shared" si="1"/>
        <v>6118833</v>
      </c>
      <c r="O17" s="96">
        <f t="shared" si="1"/>
        <v>8800194</v>
      </c>
      <c r="P17" s="96">
        <f t="shared" si="1"/>
        <v>12942974</v>
      </c>
      <c r="Q17" s="96">
        <f t="shared" si="1"/>
        <v>13307798</v>
      </c>
      <c r="R17" s="126">
        <f t="shared" ref="R17:S17" si="2">SUM(R5:R16)</f>
        <v>13191659</v>
      </c>
      <c r="S17" s="126">
        <f t="shared" si="2"/>
        <v>15027612</v>
      </c>
      <c r="T17" s="126">
        <f t="shared" ref="T17:U17" si="3">SUM(T5:T16)</f>
        <v>16916434</v>
      </c>
      <c r="U17" s="126">
        <f t="shared" si="3"/>
        <v>17299453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  <c r="O19" t="s">
        <v>295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292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>
        <v>0</v>
      </c>
      <c r="M24" s="117">
        <v>46612</v>
      </c>
      <c r="N24" s="117">
        <v>77002</v>
      </c>
      <c r="O24" s="117">
        <v>67499</v>
      </c>
      <c r="P24" s="117">
        <v>100163</v>
      </c>
      <c r="Q24" s="117">
        <v>138376</v>
      </c>
      <c r="R24" s="1">
        <v>106236</v>
      </c>
      <c r="S24" s="1">
        <v>167645</v>
      </c>
      <c r="T24" s="1">
        <v>105947</v>
      </c>
      <c r="U24" s="1">
        <v>156657</v>
      </c>
    </row>
    <row r="25" spans="1:21" x14ac:dyDescent="0.2">
      <c r="A25" s="26" t="s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>
        <v>36438</v>
      </c>
      <c r="M25" s="117">
        <v>40274</v>
      </c>
      <c r="N25" s="117">
        <v>37219</v>
      </c>
      <c r="O25" s="117">
        <v>37401</v>
      </c>
      <c r="P25" s="117">
        <v>97788</v>
      </c>
      <c r="Q25" s="117">
        <v>107506</v>
      </c>
      <c r="R25" s="1">
        <v>127739</v>
      </c>
      <c r="S25" s="1">
        <v>137479</v>
      </c>
      <c r="T25" s="1">
        <v>115803</v>
      </c>
      <c r="U25" s="1">
        <v>93416</v>
      </c>
    </row>
    <row r="26" spans="1:21" x14ac:dyDescent="0.2">
      <c r="A26" s="26" t="s">
        <v>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>
        <v>44577</v>
      </c>
      <c r="M26" s="117">
        <v>37520</v>
      </c>
      <c r="N26" s="117">
        <v>59305</v>
      </c>
      <c r="O26" s="117">
        <v>31680</v>
      </c>
      <c r="P26" s="117">
        <v>56860</v>
      </c>
      <c r="Q26" s="117">
        <v>73631</v>
      </c>
      <c r="R26" s="1">
        <v>97934</v>
      </c>
      <c r="S26" s="1">
        <v>106076</v>
      </c>
      <c r="T26" s="1">
        <v>117792</v>
      </c>
      <c r="U26" s="1">
        <v>100650</v>
      </c>
    </row>
    <row r="27" spans="1:21" x14ac:dyDescent="0.2">
      <c r="A27" s="26" t="s">
        <v>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>
        <v>53548</v>
      </c>
      <c r="M27" s="117">
        <v>41282</v>
      </c>
      <c r="N27" s="117">
        <v>48137</v>
      </c>
      <c r="O27" s="117">
        <v>49137</v>
      </c>
      <c r="P27" s="117">
        <v>90693</v>
      </c>
      <c r="Q27" s="117">
        <v>91505</v>
      </c>
      <c r="R27" s="1">
        <v>81267</v>
      </c>
      <c r="S27" s="1">
        <v>70506</v>
      </c>
      <c r="T27" s="1">
        <v>96991</v>
      </c>
      <c r="U27" s="1">
        <v>139717</v>
      </c>
    </row>
    <row r="28" spans="1:21" x14ac:dyDescent="0.2">
      <c r="A28" s="26" t="s">
        <v>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>
        <v>56272</v>
      </c>
      <c r="M28" s="117">
        <v>50101</v>
      </c>
      <c r="N28" s="117">
        <v>32147</v>
      </c>
      <c r="O28" s="117">
        <v>57443</v>
      </c>
      <c r="P28" s="117">
        <v>71641</v>
      </c>
      <c r="Q28" s="117">
        <v>107318</v>
      </c>
      <c r="R28" s="1">
        <v>83885</v>
      </c>
      <c r="S28" s="1">
        <v>95095</v>
      </c>
      <c r="T28" s="1">
        <v>92447</v>
      </c>
      <c r="U28" s="1">
        <v>60209</v>
      </c>
    </row>
    <row r="29" spans="1:21" x14ac:dyDescent="0.2">
      <c r="A29" s="26" t="s">
        <v>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>
        <v>57869</v>
      </c>
      <c r="M29" s="117">
        <v>46486</v>
      </c>
      <c r="N29" s="117">
        <v>34570</v>
      </c>
      <c r="O29" s="117">
        <v>49451</v>
      </c>
      <c r="P29" s="117">
        <v>83082</v>
      </c>
      <c r="Q29" s="117">
        <v>100501</v>
      </c>
      <c r="R29" s="1">
        <v>74165</v>
      </c>
      <c r="S29" s="1">
        <v>90784</v>
      </c>
      <c r="T29" s="1">
        <v>85389</v>
      </c>
      <c r="U29" s="1">
        <v>134222</v>
      </c>
    </row>
    <row r="30" spans="1:21" x14ac:dyDescent="0.2">
      <c r="A30" s="26" t="s">
        <v>6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>
        <v>34245</v>
      </c>
      <c r="M30" s="117">
        <v>57154</v>
      </c>
      <c r="N30" s="117">
        <v>23519</v>
      </c>
      <c r="O30" s="117">
        <v>40955</v>
      </c>
      <c r="P30" s="117">
        <v>98026</v>
      </c>
      <c r="Q30" s="117">
        <v>104826</v>
      </c>
      <c r="R30" s="1">
        <v>123061</v>
      </c>
      <c r="S30" s="1">
        <v>99934</v>
      </c>
      <c r="T30" s="1">
        <v>95804</v>
      </c>
      <c r="U30" s="1">
        <v>124996</v>
      </c>
    </row>
    <row r="31" spans="1:21" x14ac:dyDescent="0.2">
      <c r="A31" s="26" t="s">
        <v>7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>
        <v>104098</v>
      </c>
      <c r="M31" s="117">
        <v>52128</v>
      </c>
      <c r="N31" s="117">
        <v>47769</v>
      </c>
      <c r="O31" s="117">
        <v>78446</v>
      </c>
      <c r="P31" s="117">
        <v>91264</v>
      </c>
      <c r="Q31" s="117">
        <v>115222</v>
      </c>
      <c r="R31" s="1">
        <v>130024</v>
      </c>
      <c r="S31" s="1">
        <v>76291</v>
      </c>
      <c r="T31" s="1">
        <v>113938</v>
      </c>
      <c r="U31" s="1">
        <v>99828</v>
      </c>
    </row>
    <row r="32" spans="1:21" x14ac:dyDescent="0.2">
      <c r="A32" s="26" t="s">
        <v>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>
        <v>66343</v>
      </c>
      <c r="M32" s="117">
        <v>41334</v>
      </c>
      <c r="N32" s="117">
        <v>51163</v>
      </c>
      <c r="O32" s="117">
        <v>97643</v>
      </c>
      <c r="P32" s="117">
        <v>100519</v>
      </c>
      <c r="Q32" s="117">
        <v>88674</v>
      </c>
      <c r="R32" s="2">
        <v>147728</v>
      </c>
      <c r="S32" s="1">
        <v>119763</v>
      </c>
      <c r="T32" s="1">
        <v>89958</v>
      </c>
      <c r="U32" s="1">
        <v>127735</v>
      </c>
    </row>
    <row r="33" spans="1:21" x14ac:dyDescent="0.2">
      <c r="A33" s="26" t="s">
        <v>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>
        <v>66731</v>
      </c>
      <c r="M33" s="117">
        <v>70264</v>
      </c>
      <c r="N33" s="117">
        <v>42056</v>
      </c>
      <c r="O33" s="117">
        <v>93376</v>
      </c>
      <c r="P33" s="117">
        <v>78880</v>
      </c>
      <c r="Q33" s="117">
        <v>139260</v>
      </c>
      <c r="R33" s="1">
        <v>129720</v>
      </c>
      <c r="S33" s="1">
        <v>140539</v>
      </c>
      <c r="T33" s="1">
        <v>116364</v>
      </c>
      <c r="U33" s="1">
        <v>147136</v>
      </c>
    </row>
    <row r="34" spans="1:21" x14ac:dyDescent="0.2">
      <c r="A34" s="26" t="s">
        <v>10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>
        <v>55412</v>
      </c>
      <c r="M34" s="117">
        <v>47853</v>
      </c>
      <c r="N34" s="117">
        <v>43417</v>
      </c>
      <c r="O34" s="117">
        <v>79764</v>
      </c>
      <c r="P34" s="117">
        <v>104887</v>
      </c>
      <c r="Q34" s="117">
        <v>93674</v>
      </c>
      <c r="R34" s="1">
        <v>89262</v>
      </c>
      <c r="S34" s="1">
        <v>94442</v>
      </c>
      <c r="T34" s="1">
        <v>100589</v>
      </c>
      <c r="U34" s="1">
        <v>95055</v>
      </c>
    </row>
    <row r="35" spans="1:21" x14ac:dyDescent="0.2">
      <c r="A35" s="26" t="s">
        <v>11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>
        <v>50750</v>
      </c>
      <c r="M35" s="95">
        <v>53474</v>
      </c>
      <c r="N35" s="95">
        <v>63565</v>
      </c>
      <c r="O35" s="95">
        <v>78954</v>
      </c>
      <c r="P35" s="95">
        <v>83248</v>
      </c>
      <c r="Q35" s="95">
        <v>85753</v>
      </c>
      <c r="R35" s="1">
        <v>215331</v>
      </c>
      <c r="S35" s="1">
        <v>100461</v>
      </c>
      <c r="T35" s="1">
        <v>87738</v>
      </c>
      <c r="U35" s="1">
        <v>87751</v>
      </c>
    </row>
    <row r="36" spans="1:21" x14ac:dyDescent="0.2">
      <c r="A36" s="25"/>
      <c r="B36" s="122"/>
      <c r="C36" s="123"/>
      <c r="D36" s="123"/>
      <c r="E36" s="123"/>
      <c r="F36" s="124"/>
      <c r="G36" s="124"/>
      <c r="H36" s="125"/>
      <c r="I36" s="125"/>
      <c r="J36" s="125"/>
      <c r="K36" s="125"/>
      <c r="L36" s="126">
        <f t="shared" ref="L36:Q36" si="4">SUM(L24:L35)</f>
        <v>626283</v>
      </c>
      <c r="M36" s="96">
        <f t="shared" si="4"/>
        <v>584482</v>
      </c>
      <c r="N36" s="96">
        <f t="shared" si="4"/>
        <v>559869</v>
      </c>
      <c r="O36" s="96">
        <f t="shared" si="4"/>
        <v>761749</v>
      </c>
      <c r="P36" s="96">
        <f t="shared" si="4"/>
        <v>1057051</v>
      </c>
      <c r="Q36" s="96">
        <f t="shared" si="4"/>
        <v>1246246</v>
      </c>
      <c r="R36" s="126">
        <f t="shared" ref="R36:S36" si="5">SUM(R24:R35)</f>
        <v>1406352</v>
      </c>
      <c r="S36" s="126">
        <f t="shared" si="5"/>
        <v>1299015</v>
      </c>
      <c r="T36" s="126">
        <f t="shared" ref="T36:U36" si="6">SUM(T24:T35)</f>
        <v>1218760</v>
      </c>
      <c r="U36" s="126">
        <f t="shared" si="6"/>
        <v>1367372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>
        <v>0</v>
      </c>
      <c r="M42" s="117">
        <v>-5729</v>
      </c>
      <c r="N42" s="117">
        <v>-13047</v>
      </c>
      <c r="O42" s="117">
        <v>-46</v>
      </c>
      <c r="P42" s="117">
        <v>-5540</v>
      </c>
      <c r="Q42" s="117">
        <v>-3576</v>
      </c>
      <c r="R42" s="1">
        <v>-610</v>
      </c>
      <c r="S42" s="117">
        <v>-92</v>
      </c>
      <c r="T42" s="1">
        <v>-3836</v>
      </c>
      <c r="U42" s="117">
        <v>-255</v>
      </c>
    </row>
    <row r="43" spans="1:21" x14ac:dyDescent="0.2">
      <c r="A43" s="26" t="s">
        <v>1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>
        <v>0</v>
      </c>
      <c r="M43" s="117">
        <v>-10</v>
      </c>
      <c r="N43" s="117">
        <v>-834</v>
      </c>
      <c r="O43" s="117">
        <v>-1575</v>
      </c>
      <c r="P43" s="117">
        <v>-46132</v>
      </c>
      <c r="Q43" s="117">
        <v>-1685</v>
      </c>
      <c r="R43" s="1">
        <v>-2218</v>
      </c>
      <c r="S43" s="117">
        <v>-316</v>
      </c>
      <c r="T43" s="1">
        <v>-4254</v>
      </c>
      <c r="U43" s="117">
        <v>-508</v>
      </c>
    </row>
    <row r="44" spans="1:21" x14ac:dyDescent="0.2">
      <c r="A44" s="26" t="s">
        <v>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>
        <v>0</v>
      </c>
      <c r="M44" s="117">
        <v>-2928</v>
      </c>
      <c r="N44" s="117">
        <v>-1633</v>
      </c>
      <c r="O44" s="117">
        <v>-1617</v>
      </c>
      <c r="P44" s="117">
        <v>-2508</v>
      </c>
      <c r="Q44" s="117">
        <v>-17563</v>
      </c>
      <c r="R44" s="1">
        <v>-55846</v>
      </c>
      <c r="S44" s="117">
        <v>-123</v>
      </c>
      <c r="T44" s="1">
        <v>0</v>
      </c>
      <c r="U44" s="117">
        <v>-104</v>
      </c>
    </row>
    <row r="45" spans="1:21" x14ac:dyDescent="0.2">
      <c r="A45" s="26" t="s">
        <v>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>
        <v>-27</v>
      </c>
      <c r="M45" s="117">
        <v>-51</v>
      </c>
      <c r="N45" s="117">
        <v>-647</v>
      </c>
      <c r="O45" s="117">
        <v>-122</v>
      </c>
      <c r="P45" s="117">
        <v>-1476</v>
      </c>
      <c r="Q45" s="117">
        <v>-129438</v>
      </c>
      <c r="R45" s="1">
        <v>-1805</v>
      </c>
      <c r="S45" s="117">
        <v>0</v>
      </c>
      <c r="T45" s="1">
        <v>-1144</v>
      </c>
      <c r="U45" s="117">
        <v>-36</v>
      </c>
    </row>
    <row r="46" spans="1:21" x14ac:dyDescent="0.2">
      <c r="A46" s="26" t="s">
        <v>4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>
        <v>-144</v>
      </c>
      <c r="M46" s="117">
        <v>-3611</v>
      </c>
      <c r="N46" s="117">
        <v>-17229</v>
      </c>
      <c r="O46" s="117">
        <v>-8231</v>
      </c>
      <c r="P46" s="117">
        <v>-4033</v>
      </c>
      <c r="Q46" s="117">
        <v>-14891</v>
      </c>
      <c r="R46" s="1">
        <v>-106</v>
      </c>
      <c r="S46" s="117">
        <v>0</v>
      </c>
      <c r="T46" s="1">
        <v>-1749</v>
      </c>
      <c r="U46" s="117">
        <v>-171</v>
      </c>
    </row>
    <row r="47" spans="1:21" x14ac:dyDescent="0.2">
      <c r="A47" s="26" t="s">
        <v>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>
        <v>0</v>
      </c>
      <c r="M47" s="117">
        <v>-3090</v>
      </c>
      <c r="N47" s="117">
        <v>-5351</v>
      </c>
      <c r="O47" s="117">
        <v>-26404</v>
      </c>
      <c r="P47" s="117">
        <v>-480</v>
      </c>
      <c r="Q47" s="117">
        <v>-4005</v>
      </c>
      <c r="R47" s="1">
        <v>-66905</v>
      </c>
      <c r="S47" s="117">
        <v>-49</v>
      </c>
      <c r="T47" s="1">
        <v>-540</v>
      </c>
      <c r="U47" s="117">
        <v>-8</v>
      </c>
    </row>
    <row r="48" spans="1:21" x14ac:dyDescent="0.2">
      <c r="A48" s="26" t="s">
        <v>6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>
        <v>-1765</v>
      </c>
      <c r="M48" s="117">
        <v>-25292</v>
      </c>
      <c r="N48" s="117">
        <v>-479</v>
      </c>
      <c r="O48" s="117">
        <v>-9411</v>
      </c>
      <c r="P48" s="117">
        <v>-143</v>
      </c>
      <c r="Q48" s="117">
        <v>-469</v>
      </c>
      <c r="R48" s="1">
        <v>-2020</v>
      </c>
      <c r="S48" s="1">
        <v>-3991</v>
      </c>
      <c r="T48" s="1">
        <v>-1331</v>
      </c>
      <c r="U48" s="1">
        <v>-950</v>
      </c>
    </row>
    <row r="49" spans="1:21" x14ac:dyDescent="0.2">
      <c r="A49" s="26" t="s">
        <v>7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>
        <v>-297</v>
      </c>
      <c r="M49" s="117">
        <v>-16</v>
      </c>
      <c r="N49" s="117">
        <v>-2853</v>
      </c>
      <c r="O49" s="117">
        <v>-8069</v>
      </c>
      <c r="P49" s="117">
        <v>-11</v>
      </c>
      <c r="Q49" s="117">
        <v>-10</v>
      </c>
      <c r="R49" s="1">
        <v>-3367</v>
      </c>
      <c r="S49" s="117">
        <v>-41</v>
      </c>
      <c r="T49" s="1">
        <v>-300</v>
      </c>
      <c r="U49" s="117">
        <v>-2</v>
      </c>
    </row>
    <row r="50" spans="1:21" x14ac:dyDescent="0.2">
      <c r="A50" s="26" t="s">
        <v>8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>
        <v>-155</v>
      </c>
      <c r="M50" s="117">
        <v>-1608</v>
      </c>
      <c r="N50" s="117">
        <v>-694</v>
      </c>
      <c r="O50" s="117">
        <v>-1522</v>
      </c>
      <c r="P50" s="117">
        <v>0</v>
      </c>
      <c r="Q50" s="117">
        <v>0</v>
      </c>
      <c r="R50" s="2">
        <v>-9009</v>
      </c>
      <c r="S50" s="117">
        <v>-100</v>
      </c>
      <c r="T50" s="1">
        <v>-910</v>
      </c>
      <c r="U50" s="1">
        <v>-129304</v>
      </c>
    </row>
    <row r="51" spans="1:21" x14ac:dyDescent="0.2">
      <c r="A51" s="26" t="s">
        <v>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>
        <v>-21</v>
      </c>
      <c r="M51" s="117">
        <v>-625</v>
      </c>
      <c r="N51" s="117">
        <v>-2</v>
      </c>
      <c r="O51" s="117">
        <v>-661</v>
      </c>
      <c r="P51" s="117">
        <v>-12630</v>
      </c>
      <c r="Q51" s="117">
        <v>-177</v>
      </c>
      <c r="R51" s="1">
        <v>-177755</v>
      </c>
      <c r="S51" s="1">
        <v>-80657</v>
      </c>
      <c r="T51" s="1">
        <v>-45</v>
      </c>
      <c r="U51" s="1">
        <v>-118</v>
      </c>
    </row>
    <row r="52" spans="1:21" x14ac:dyDescent="0.2">
      <c r="A52" s="26" t="s">
        <v>10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>
        <v>-906</v>
      </c>
      <c r="M52" s="117">
        <v>-18228</v>
      </c>
      <c r="N52" s="117">
        <v>-5711</v>
      </c>
      <c r="O52" s="117">
        <v>-62</v>
      </c>
      <c r="P52" s="117">
        <v>-57</v>
      </c>
      <c r="Q52" s="117">
        <v>-990</v>
      </c>
      <c r="R52" s="1">
        <v>-20</v>
      </c>
      <c r="S52" s="1">
        <v>-1515</v>
      </c>
      <c r="T52" s="1">
        <v>-3083</v>
      </c>
      <c r="U52" s="1">
        <v>-83</v>
      </c>
    </row>
    <row r="53" spans="1:21" x14ac:dyDescent="0.2">
      <c r="A53" s="26" t="s">
        <v>11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>
        <v>-12866</v>
      </c>
      <c r="M53" s="95">
        <v>-1488</v>
      </c>
      <c r="N53" s="95">
        <v>-8461</v>
      </c>
      <c r="O53" s="95">
        <v>-445</v>
      </c>
      <c r="P53" s="95">
        <v>-11</v>
      </c>
      <c r="Q53" s="95">
        <v>-420</v>
      </c>
      <c r="R53" s="95">
        <v>-824</v>
      </c>
      <c r="S53" s="1">
        <v>-1199</v>
      </c>
      <c r="T53" s="1">
        <v>-7954</v>
      </c>
      <c r="U53" s="1">
        <v>-2147</v>
      </c>
    </row>
    <row r="54" spans="1:21" x14ac:dyDescent="0.2">
      <c r="A54" s="25"/>
      <c r="B54" s="122"/>
      <c r="C54" s="123"/>
      <c r="D54" s="123"/>
      <c r="E54" s="123"/>
      <c r="F54" s="124"/>
      <c r="G54" s="124"/>
      <c r="H54" s="125"/>
      <c r="I54" s="125"/>
      <c r="J54" s="125"/>
      <c r="K54" s="125"/>
      <c r="L54" s="126">
        <f t="shared" ref="L54" si="7">SUM(L42:L53)</f>
        <v>-16181</v>
      </c>
      <c r="M54" s="96">
        <f t="shared" ref="M54:Q54" si="8">SUM(M42:M53)</f>
        <v>-62676</v>
      </c>
      <c r="N54" s="96">
        <f t="shared" si="8"/>
        <v>-56941</v>
      </c>
      <c r="O54" s="96">
        <f t="shared" si="8"/>
        <v>-58165</v>
      </c>
      <c r="P54" s="96">
        <f t="shared" si="8"/>
        <v>-73021</v>
      </c>
      <c r="Q54" s="96">
        <f t="shared" si="8"/>
        <v>-173224</v>
      </c>
      <c r="R54" s="126">
        <f t="shared" ref="R54:S54" si="9">SUM(R42:R53)</f>
        <v>-320485</v>
      </c>
      <c r="S54" s="126">
        <f t="shared" si="9"/>
        <v>-88083</v>
      </c>
      <c r="T54" s="126">
        <f t="shared" ref="T54:U54" si="10">SUM(T42:T53)</f>
        <v>-25146</v>
      </c>
      <c r="U54" s="126">
        <f t="shared" si="10"/>
        <v>-133686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" bestFit="1" customWidth="1"/>
    <col min="3" max="3" width="5" bestFit="1" customWidth="1"/>
    <col min="4" max="4" width="6" customWidth="1"/>
    <col min="5" max="5" width="5" bestFit="1" customWidth="1"/>
    <col min="6" max="6" width="5.42578125" customWidth="1"/>
    <col min="7" max="7" width="5.7109375" bestFit="1" customWidth="1"/>
    <col min="8" max="11" width="5" bestFit="1" customWidth="1"/>
    <col min="12" max="21" width="10.7109375" bestFit="1" customWidth="1"/>
  </cols>
  <sheetData>
    <row r="1" spans="1:21" x14ac:dyDescent="0.2">
      <c r="A1" s="121" t="s">
        <v>159</v>
      </c>
    </row>
    <row r="2" spans="1:21" x14ac:dyDescent="0.2">
      <c r="A2" s="24" t="s">
        <v>84</v>
      </c>
      <c r="B2" s="6">
        <v>5.0000000000000001E-3</v>
      </c>
      <c r="D2" s="94" t="s">
        <v>205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>
        <v>151</v>
      </c>
      <c r="M5" s="117">
        <v>298572</v>
      </c>
      <c r="N5" s="117">
        <v>268743</v>
      </c>
      <c r="O5" s="117">
        <v>278338</v>
      </c>
      <c r="P5" s="117">
        <v>279186</v>
      </c>
      <c r="Q5" s="117">
        <v>312831</v>
      </c>
      <c r="R5" s="1">
        <v>340069</v>
      </c>
      <c r="S5" s="1">
        <v>350650</v>
      </c>
      <c r="T5" s="1">
        <v>367203</v>
      </c>
      <c r="U5" s="1">
        <v>416607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>
        <v>184310</v>
      </c>
      <c r="M6" s="117">
        <v>203117</v>
      </c>
      <c r="N6" s="117">
        <v>201365</v>
      </c>
      <c r="O6" s="117">
        <v>225092</v>
      </c>
      <c r="P6" s="117">
        <v>232603</v>
      </c>
      <c r="Q6" s="117">
        <v>256732</v>
      </c>
      <c r="R6" s="1">
        <v>271607</v>
      </c>
      <c r="S6" s="1">
        <v>293166</v>
      </c>
      <c r="T6" s="1">
        <v>355830</v>
      </c>
      <c r="U6" s="1">
        <v>332927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>
        <v>170183</v>
      </c>
      <c r="M7" s="117">
        <v>201502</v>
      </c>
      <c r="N7" s="117">
        <v>198817</v>
      </c>
      <c r="O7" s="117">
        <v>207080</v>
      </c>
      <c r="P7" s="117">
        <v>209388</v>
      </c>
      <c r="Q7" s="117">
        <v>225981</v>
      </c>
      <c r="R7" s="1">
        <v>250744</v>
      </c>
      <c r="S7" s="1">
        <v>274510</v>
      </c>
      <c r="T7" s="1">
        <v>313205</v>
      </c>
      <c r="U7" s="1">
        <v>324545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>
        <v>209072</v>
      </c>
      <c r="M8" s="117">
        <v>232116</v>
      </c>
      <c r="N8" s="117">
        <v>243812</v>
      </c>
      <c r="O8" s="117">
        <v>304494</v>
      </c>
      <c r="P8" s="117">
        <v>256874</v>
      </c>
      <c r="Q8" s="117">
        <v>277582</v>
      </c>
      <c r="R8" s="1">
        <v>285856</v>
      </c>
      <c r="S8" s="1">
        <v>364578</v>
      </c>
      <c r="T8" s="1">
        <v>378125</v>
      </c>
      <c r="U8" s="1">
        <v>382134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>
        <v>206066</v>
      </c>
      <c r="M9" s="117">
        <v>224340</v>
      </c>
      <c r="N9" s="117">
        <v>239533</v>
      </c>
      <c r="O9" s="117">
        <v>245779</v>
      </c>
      <c r="P9" s="117">
        <v>257625</v>
      </c>
      <c r="Q9" s="117">
        <v>293710</v>
      </c>
      <c r="R9" s="1">
        <v>286728</v>
      </c>
      <c r="S9" s="1">
        <v>350061</v>
      </c>
      <c r="T9" s="1">
        <v>359828</v>
      </c>
      <c r="U9" s="1">
        <v>383274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>
        <v>250615</v>
      </c>
      <c r="M10" s="117">
        <v>248995</v>
      </c>
      <c r="N10" s="117">
        <v>262503</v>
      </c>
      <c r="O10" s="117">
        <v>279845</v>
      </c>
      <c r="P10" s="117">
        <v>314104</v>
      </c>
      <c r="Q10" s="117">
        <v>347657</v>
      </c>
      <c r="R10" s="1">
        <v>342847</v>
      </c>
      <c r="S10" s="1">
        <v>378871</v>
      </c>
      <c r="T10" s="1">
        <v>475837</v>
      </c>
      <c r="U10" s="1">
        <v>442127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>
        <v>231341</v>
      </c>
      <c r="M11" s="117">
        <v>238495</v>
      </c>
      <c r="N11" s="117">
        <v>242838</v>
      </c>
      <c r="O11" s="117">
        <v>264096</v>
      </c>
      <c r="P11" s="117">
        <v>260037</v>
      </c>
      <c r="Q11" s="117">
        <v>369364</v>
      </c>
      <c r="R11" s="1">
        <v>325570</v>
      </c>
      <c r="S11" s="1">
        <v>399314</v>
      </c>
      <c r="T11" s="1">
        <v>431701</v>
      </c>
      <c r="U11" s="1">
        <v>482207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>
        <v>263007</v>
      </c>
      <c r="M12" s="117">
        <v>288456</v>
      </c>
      <c r="N12" s="117">
        <v>311367</v>
      </c>
      <c r="O12" s="117">
        <v>329453</v>
      </c>
      <c r="P12" s="117">
        <v>350666</v>
      </c>
      <c r="Q12" s="117">
        <v>334999</v>
      </c>
      <c r="R12" s="1">
        <v>391563</v>
      </c>
      <c r="S12" s="1">
        <v>392973</v>
      </c>
      <c r="T12" s="1">
        <v>398089</v>
      </c>
      <c r="U12" s="1">
        <v>379575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>
        <v>233468</v>
      </c>
      <c r="M13" s="117">
        <v>242379</v>
      </c>
      <c r="N13" s="117">
        <v>284795</v>
      </c>
      <c r="O13" s="117">
        <v>288423</v>
      </c>
      <c r="P13" s="117">
        <v>301293</v>
      </c>
      <c r="Q13" s="117">
        <v>329667</v>
      </c>
      <c r="R13" s="2">
        <v>322390</v>
      </c>
      <c r="S13" s="1">
        <v>355022</v>
      </c>
      <c r="T13" s="1">
        <v>405224</v>
      </c>
      <c r="U13" s="1">
        <v>393849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>
        <v>254662</v>
      </c>
      <c r="M14" s="117">
        <v>258924</v>
      </c>
      <c r="N14" s="117">
        <v>283945</v>
      </c>
      <c r="O14" s="117">
        <v>296875</v>
      </c>
      <c r="P14" s="117">
        <v>295866</v>
      </c>
      <c r="Q14" s="117">
        <v>334134</v>
      </c>
      <c r="R14" s="1">
        <v>348911</v>
      </c>
      <c r="S14" s="1">
        <v>404000</v>
      </c>
      <c r="T14" s="1">
        <v>431534</v>
      </c>
      <c r="U14" s="1">
        <v>426601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>
        <v>248146</v>
      </c>
      <c r="M15" s="117">
        <v>245126</v>
      </c>
      <c r="N15" s="117">
        <v>275080</v>
      </c>
      <c r="O15" s="117">
        <v>278369</v>
      </c>
      <c r="P15" s="117">
        <v>337115</v>
      </c>
      <c r="Q15" s="117">
        <v>314824</v>
      </c>
      <c r="R15" s="1">
        <v>334433</v>
      </c>
      <c r="S15" s="1">
        <v>355006</v>
      </c>
      <c r="T15" s="1">
        <v>391688</v>
      </c>
      <c r="U15" s="1">
        <v>349285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>
        <v>220674</v>
      </c>
      <c r="M16" s="95">
        <v>222190</v>
      </c>
      <c r="N16" s="95">
        <v>250771</v>
      </c>
      <c r="O16" s="95">
        <v>267796</v>
      </c>
      <c r="P16" s="95">
        <v>295946</v>
      </c>
      <c r="Q16" s="95">
        <v>294611</v>
      </c>
      <c r="R16" s="1">
        <v>316330</v>
      </c>
      <c r="S16" s="1">
        <v>337613</v>
      </c>
      <c r="T16" s="1">
        <v>439234</v>
      </c>
      <c r="U16" s="1">
        <v>386181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>
        <f t="shared" ref="L17" si="0">SUM(L5:L16)</f>
        <v>2471695</v>
      </c>
      <c r="M17" s="96">
        <f t="shared" ref="M17:Q17" si="1">SUM(M5:M16)</f>
        <v>2904212</v>
      </c>
      <c r="N17" s="96">
        <f t="shared" si="1"/>
        <v>3063569</v>
      </c>
      <c r="O17" s="96">
        <f t="shared" si="1"/>
        <v>3265640</v>
      </c>
      <c r="P17" s="96">
        <f t="shared" si="1"/>
        <v>3390703</v>
      </c>
      <c r="Q17" s="96">
        <f t="shared" si="1"/>
        <v>3692092</v>
      </c>
      <c r="R17" s="126">
        <f t="shared" ref="R17:S17" si="2">SUM(R5:R16)</f>
        <v>3817048</v>
      </c>
      <c r="S17" s="126">
        <f t="shared" si="2"/>
        <v>4255764</v>
      </c>
      <c r="T17" s="126">
        <f t="shared" ref="T17:U17" si="3">SUM(T5:T16)</f>
        <v>4747498</v>
      </c>
      <c r="U17" s="126">
        <f t="shared" si="3"/>
        <v>4699312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>
        <v>22</v>
      </c>
      <c r="M24" s="117">
        <v>21066</v>
      </c>
      <c r="N24" s="117">
        <v>18334</v>
      </c>
      <c r="O24" s="117">
        <v>18806</v>
      </c>
      <c r="P24" s="117">
        <v>15696</v>
      </c>
      <c r="Q24" s="117">
        <v>33197</v>
      </c>
      <c r="R24" s="1">
        <v>27620</v>
      </c>
      <c r="S24" s="1">
        <v>20428</v>
      </c>
      <c r="T24" s="1">
        <v>22105</v>
      </c>
      <c r="U24" s="1">
        <v>20141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>
        <v>3741</v>
      </c>
      <c r="M25" s="117">
        <v>9959</v>
      </c>
      <c r="N25" s="117">
        <v>10113</v>
      </c>
      <c r="O25" s="117">
        <v>12092</v>
      </c>
      <c r="P25" s="117">
        <v>9711</v>
      </c>
      <c r="Q25" s="117">
        <v>13522</v>
      </c>
      <c r="R25" s="1">
        <v>18608</v>
      </c>
      <c r="S25" s="1">
        <v>13512</v>
      </c>
      <c r="T25" s="1">
        <v>18211</v>
      </c>
      <c r="U25" s="1">
        <v>16530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>
        <v>6709</v>
      </c>
      <c r="M26" s="117">
        <v>9491</v>
      </c>
      <c r="N26" s="117">
        <v>16294</v>
      </c>
      <c r="O26" s="117">
        <v>15685</v>
      </c>
      <c r="P26" s="117">
        <v>9753</v>
      </c>
      <c r="Q26" s="117">
        <v>13792</v>
      </c>
      <c r="R26" s="1">
        <v>7521</v>
      </c>
      <c r="S26" s="1">
        <v>10673</v>
      </c>
      <c r="T26" s="1">
        <v>14687</v>
      </c>
      <c r="U26" s="1">
        <v>11840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>
        <v>14054</v>
      </c>
      <c r="M27" s="117">
        <v>11226</v>
      </c>
      <c r="N27" s="117">
        <v>9906</v>
      </c>
      <c r="O27" s="117">
        <v>12877</v>
      </c>
      <c r="P27" s="117">
        <v>16169</v>
      </c>
      <c r="Q27" s="117">
        <v>15463</v>
      </c>
      <c r="R27" s="1">
        <v>24649</v>
      </c>
      <c r="S27" s="1">
        <v>11891</v>
      </c>
      <c r="T27" s="1">
        <v>18871</v>
      </c>
      <c r="U27" s="1">
        <v>16761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>
        <v>12773</v>
      </c>
      <c r="M28" s="117">
        <v>13252</v>
      </c>
      <c r="N28" s="117">
        <v>15981</v>
      </c>
      <c r="O28" s="117">
        <v>13866</v>
      </c>
      <c r="P28" s="117">
        <v>11048</v>
      </c>
      <c r="Q28" s="117">
        <v>12213</v>
      </c>
      <c r="R28" s="1">
        <v>12612</v>
      </c>
      <c r="S28" s="1">
        <v>19365</v>
      </c>
      <c r="T28" s="1">
        <v>13104</v>
      </c>
      <c r="U28" s="1">
        <v>17527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>
        <v>8938</v>
      </c>
      <c r="M29" s="117">
        <v>13900</v>
      </c>
      <c r="N29" s="117">
        <v>8414</v>
      </c>
      <c r="O29" s="117">
        <v>13176</v>
      </c>
      <c r="P29" s="117">
        <v>12027</v>
      </c>
      <c r="Q29" s="117">
        <v>15773</v>
      </c>
      <c r="R29" s="1">
        <v>13871</v>
      </c>
      <c r="S29" s="1">
        <v>16665</v>
      </c>
      <c r="T29" s="1">
        <v>13918</v>
      </c>
      <c r="U29" s="1">
        <v>22997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>
        <v>14538</v>
      </c>
      <c r="M30" s="117">
        <v>12795</v>
      </c>
      <c r="N30" s="117">
        <v>15061</v>
      </c>
      <c r="O30" s="117">
        <v>16715</v>
      </c>
      <c r="P30" s="117">
        <v>12610</v>
      </c>
      <c r="Q30" s="117">
        <v>13951</v>
      </c>
      <c r="R30" s="1">
        <v>15478</v>
      </c>
      <c r="S30" s="1">
        <v>20320</v>
      </c>
      <c r="T30" s="1">
        <v>15644</v>
      </c>
      <c r="U30" s="1">
        <v>30993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>
        <v>17464</v>
      </c>
      <c r="M31" s="117">
        <v>15167</v>
      </c>
      <c r="N31" s="117">
        <v>13059</v>
      </c>
      <c r="O31" s="117">
        <v>11397</v>
      </c>
      <c r="P31" s="117">
        <v>18807</v>
      </c>
      <c r="Q31" s="117">
        <v>19927</v>
      </c>
      <c r="R31" s="1">
        <v>21611</v>
      </c>
      <c r="S31" s="1">
        <v>24749</v>
      </c>
      <c r="T31" s="1">
        <v>16527</v>
      </c>
      <c r="U31" s="1">
        <v>14677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>
        <v>12466</v>
      </c>
      <c r="M32" s="117">
        <v>8558</v>
      </c>
      <c r="N32" s="117">
        <v>14824</v>
      </c>
      <c r="O32" s="117">
        <v>15635</v>
      </c>
      <c r="P32" s="117">
        <v>15114</v>
      </c>
      <c r="Q32" s="117">
        <v>18319</v>
      </c>
      <c r="R32" s="2">
        <v>14317</v>
      </c>
      <c r="S32" s="1">
        <v>15956</v>
      </c>
      <c r="T32" s="1">
        <v>18416</v>
      </c>
      <c r="U32" s="1">
        <v>29421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>
        <v>20689</v>
      </c>
      <c r="M33" s="117">
        <v>13174</v>
      </c>
      <c r="N33" s="117">
        <v>17258</v>
      </c>
      <c r="O33" s="117">
        <v>15927</v>
      </c>
      <c r="P33" s="117">
        <v>10855</v>
      </c>
      <c r="Q33" s="117">
        <v>25749</v>
      </c>
      <c r="R33" s="1">
        <v>16502</v>
      </c>
      <c r="S33" s="1">
        <v>32418</v>
      </c>
      <c r="T33" s="1">
        <v>24644</v>
      </c>
      <c r="U33" s="1">
        <v>33562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>
        <v>10709</v>
      </c>
      <c r="M34" s="117">
        <v>12780</v>
      </c>
      <c r="N34" s="117">
        <v>25583</v>
      </c>
      <c r="O34" s="117">
        <v>18649</v>
      </c>
      <c r="P34" s="117">
        <v>18393</v>
      </c>
      <c r="Q34" s="117">
        <v>11651</v>
      </c>
      <c r="R34" s="1">
        <v>11795</v>
      </c>
      <c r="S34" s="1">
        <v>13399</v>
      </c>
      <c r="T34" s="1">
        <v>23978</v>
      </c>
      <c r="U34" s="1">
        <v>26194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>
        <v>10055</v>
      </c>
      <c r="M35" s="95">
        <v>9140</v>
      </c>
      <c r="N35" s="95">
        <v>20351</v>
      </c>
      <c r="O35" s="95">
        <v>13300</v>
      </c>
      <c r="P35" s="95">
        <v>16547</v>
      </c>
      <c r="Q35" s="95">
        <v>7632</v>
      </c>
      <c r="R35" s="1">
        <v>23538</v>
      </c>
      <c r="S35" s="1">
        <v>17882</v>
      </c>
      <c r="T35" s="1">
        <v>16147</v>
      </c>
      <c r="U35" s="1">
        <v>14284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>
        <f t="shared" ref="L36:Q36" si="4">SUM(L24:L35)</f>
        <v>132158</v>
      </c>
      <c r="M36" s="96">
        <f t="shared" si="4"/>
        <v>150508</v>
      </c>
      <c r="N36" s="96">
        <f t="shared" si="4"/>
        <v>185178</v>
      </c>
      <c r="O36" s="96">
        <f t="shared" si="4"/>
        <v>178125</v>
      </c>
      <c r="P36" s="96">
        <f t="shared" si="4"/>
        <v>166730</v>
      </c>
      <c r="Q36" s="96">
        <f t="shared" si="4"/>
        <v>201189</v>
      </c>
      <c r="R36" s="126">
        <f t="shared" ref="R36:S36" si="5">SUM(R24:R35)</f>
        <v>208122</v>
      </c>
      <c r="S36" s="126">
        <f t="shared" si="5"/>
        <v>217258</v>
      </c>
      <c r="T36" s="126">
        <f t="shared" ref="T36:U36" si="6">SUM(T24:T35)</f>
        <v>216252</v>
      </c>
      <c r="U36" s="126">
        <f t="shared" si="6"/>
        <v>254927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>
        <v>0</v>
      </c>
      <c r="M42" s="117">
        <v>-589</v>
      </c>
      <c r="N42" s="117">
        <v>-15646</v>
      </c>
      <c r="O42" s="117">
        <v>0</v>
      </c>
      <c r="P42" s="117">
        <v>-6116</v>
      </c>
      <c r="Q42" s="117">
        <v>0</v>
      </c>
      <c r="R42" s="1">
        <v>-3042</v>
      </c>
      <c r="S42" s="1">
        <v>-1150</v>
      </c>
      <c r="T42" s="1">
        <v>-740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>
        <v>0</v>
      </c>
      <c r="M43" s="117">
        <v>-1979</v>
      </c>
      <c r="N43" s="117">
        <v>-318</v>
      </c>
      <c r="O43" s="117">
        <v>-69</v>
      </c>
      <c r="P43" s="117">
        <v>-70</v>
      </c>
      <c r="Q43" s="117">
        <v>0</v>
      </c>
      <c r="R43" s="1">
        <v>-398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>
        <v>-3</v>
      </c>
      <c r="M44" s="54">
        <v>0</v>
      </c>
      <c r="N44" s="117">
        <v>-2967</v>
      </c>
      <c r="O44" s="117">
        <v>-716</v>
      </c>
      <c r="P44" s="117">
        <v>-265</v>
      </c>
      <c r="Q44" s="117">
        <v>0</v>
      </c>
      <c r="R44" s="1">
        <v>-7414</v>
      </c>
      <c r="S44" s="1">
        <v>-4692</v>
      </c>
      <c r="T44" s="1">
        <v>-4935</v>
      </c>
      <c r="U44" s="1">
        <v>-648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7">
        <v>-557</v>
      </c>
      <c r="N45" s="117">
        <v>-1965</v>
      </c>
      <c r="O45" s="117">
        <v>-499</v>
      </c>
      <c r="P45" s="117">
        <v>-457</v>
      </c>
      <c r="Q45" s="117">
        <v>-33</v>
      </c>
      <c r="R45" s="117">
        <v>0</v>
      </c>
      <c r="S45" s="117">
        <v>0</v>
      </c>
      <c r="T45" s="1">
        <v>-125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-2</v>
      </c>
      <c r="M46" s="117">
        <v>-7599</v>
      </c>
      <c r="N46" s="117">
        <v>-1356</v>
      </c>
      <c r="O46" s="117">
        <v>-51530</v>
      </c>
      <c r="P46" s="117">
        <v>-33</v>
      </c>
      <c r="Q46" s="117">
        <v>-57</v>
      </c>
      <c r="R46" s="1">
        <v>-12244</v>
      </c>
      <c r="S46" s="117">
        <v>0</v>
      </c>
      <c r="T46" s="1">
        <v>-4247</v>
      </c>
      <c r="U46" s="117">
        <v>-1807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7">
        <v>-1</v>
      </c>
      <c r="N47" s="117">
        <v>-14009</v>
      </c>
      <c r="O47" s="117">
        <v>-1601</v>
      </c>
      <c r="P47" s="117">
        <v>-719</v>
      </c>
      <c r="Q47" s="117">
        <v>-473</v>
      </c>
      <c r="R47" s="1">
        <v>-398</v>
      </c>
      <c r="S47" s="117">
        <v>0</v>
      </c>
      <c r="T47" s="1">
        <v>-9919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-10</v>
      </c>
      <c r="M48" s="54">
        <v>0</v>
      </c>
      <c r="N48" s="117">
        <v>-661</v>
      </c>
      <c r="O48" s="117">
        <v>-1907</v>
      </c>
      <c r="P48" s="117">
        <v>-21250</v>
      </c>
      <c r="Q48" s="117">
        <v>0</v>
      </c>
      <c r="R48" s="1">
        <v>-865</v>
      </c>
      <c r="S48" s="117">
        <v>-60</v>
      </c>
      <c r="T48" s="1">
        <v>-62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7">
        <v>-670</v>
      </c>
      <c r="N49" s="117">
        <v>-42</v>
      </c>
      <c r="O49" s="117">
        <v>-3795</v>
      </c>
      <c r="P49" s="117">
        <v>-692</v>
      </c>
      <c r="Q49" s="117">
        <v>-5948</v>
      </c>
      <c r="R49" s="1">
        <v>-9202</v>
      </c>
      <c r="S49" s="1">
        <v>-4319</v>
      </c>
      <c r="T49" s="1">
        <v>-16</v>
      </c>
      <c r="U49" s="1">
        <v>-4887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-7</v>
      </c>
      <c r="M50" s="117">
        <v>-877</v>
      </c>
      <c r="N50" s="117">
        <v>0</v>
      </c>
      <c r="O50" s="117">
        <v>-1017</v>
      </c>
      <c r="P50" s="117">
        <v>-670</v>
      </c>
      <c r="Q50" s="117">
        <v>0</v>
      </c>
      <c r="R50" s="2">
        <v>-63</v>
      </c>
      <c r="S50" s="117">
        <v>-9</v>
      </c>
      <c r="T50" s="1">
        <v>-637</v>
      </c>
      <c r="U50" s="117">
        <v>-42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-2983</v>
      </c>
      <c r="M51" s="117">
        <v>-22296</v>
      </c>
      <c r="N51" s="117">
        <v>-1</v>
      </c>
      <c r="O51" s="117">
        <v>-19648</v>
      </c>
      <c r="P51" s="117">
        <v>-8697</v>
      </c>
      <c r="Q51" s="117">
        <v>0</v>
      </c>
      <c r="R51" s="117">
        <v>0</v>
      </c>
      <c r="S51" s="117">
        <v>-269</v>
      </c>
      <c r="T51" s="1">
        <v>-2</v>
      </c>
      <c r="U51" s="117">
        <v>-67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-1</v>
      </c>
      <c r="M52" s="54">
        <v>0</v>
      </c>
      <c r="N52" s="117">
        <v>-2</v>
      </c>
      <c r="O52" s="117">
        <v>0</v>
      </c>
      <c r="P52" s="117">
        <v>-2192</v>
      </c>
      <c r="Q52" s="117">
        <v>0</v>
      </c>
      <c r="R52" s="1">
        <v>-5143</v>
      </c>
      <c r="S52" s="117">
        <v>0</v>
      </c>
      <c r="T52" s="1">
        <v>-7</v>
      </c>
      <c r="U52" s="117">
        <v>-329</v>
      </c>
    </row>
    <row r="53" spans="1:21" x14ac:dyDescent="0.2">
      <c r="A53" s="26" t="s">
        <v>11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>
        <v>-1936</v>
      </c>
      <c r="M53" s="168">
        <v>-71</v>
      </c>
      <c r="N53" s="168">
        <v>0</v>
      </c>
      <c r="O53" s="168">
        <v>-156</v>
      </c>
      <c r="P53" s="168">
        <v>-748</v>
      </c>
      <c r="Q53" s="168">
        <v>-7221</v>
      </c>
      <c r="R53" s="168">
        <v>0</v>
      </c>
      <c r="S53" s="1">
        <v>-4014</v>
      </c>
      <c r="T53" s="1">
        <v>0</v>
      </c>
      <c r="U53" s="1">
        <v>-885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169">
        <f t="shared" ref="L54" si="7">SUM(L42:L53)</f>
        <v>-4942</v>
      </c>
      <c r="M54" s="96">
        <f t="shared" ref="M54:Q54" si="8">SUM(M42:M53)</f>
        <v>-34639</v>
      </c>
      <c r="N54" s="96">
        <f t="shared" si="8"/>
        <v>-36967</v>
      </c>
      <c r="O54" s="96">
        <f t="shared" si="8"/>
        <v>-80938</v>
      </c>
      <c r="P54" s="96">
        <f t="shared" si="8"/>
        <v>-41909</v>
      </c>
      <c r="Q54" s="96">
        <f t="shared" si="8"/>
        <v>-13732</v>
      </c>
      <c r="R54" s="126">
        <f t="shared" ref="R54:S54" si="9">SUM(R42:R53)</f>
        <v>-38769</v>
      </c>
      <c r="S54" s="126">
        <f t="shared" si="9"/>
        <v>-14513</v>
      </c>
      <c r="T54" s="126">
        <f t="shared" ref="T54:U54" si="10">SUM(T42:T53)</f>
        <v>-20690</v>
      </c>
      <c r="U54" s="126">
        <f t="shared" si="10"/>
        <v>-8665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" customWidth="1"/>
    <col min="5" max="5" width="5" bestFit="1" customWidth="1"/>
    <col min="6" max="6" width="5.28515625" customWidth="1"/>
    <col min="7" max="7" width="5.7109375" bestFit="1" customWidth="1"/>
    <col min="8" max="11" width="5" bestFit="1" customWidth="1"/>
    <col min="12" max="12" width="9.140625" bestFit="1" customWidth="1"/>
    <col min="13" max="19" width="9.28515625" bestFit="1" customWidth="1"/>
    <col min="20" max="21" width="10.7109375" bestFit="1" customWidth="1"/>
  </cols>
  <sheetData>
    <row r="1" spans="1:21" x14ac:dyDescent="0.2">
      <c r="A1" s="121" t="s">
        <v>160</v>
      </c>
    </row>
    <row r="2" spans="1:21" x14ac:dyDescent="0.2">
      <c r="A2" s="24" t="s">
        <v>84</v>
      </c>
      <c r="B2" s="6">
        <v>5.0000000000000001E-3</v>
      </c>
      <c r="D2" s="94" t="s">
        <v>206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56084</v>
      </c>
      <c r="N5" s="117">
        <v>57900</v>
      </c>
      <c r="O5" s="117">
        <v>61244</v>
      </c>
      <c r="P5" s="117">
        <v>60616</v>
      </c>
      <c r="Q5" s="117">
        <v>65098</v>
      </c>
      <c r="R5" s="1">
        <v>66435</v>
      </c>
      <c r="S5" s="1">
        <v>74634</v>
      </c>
      <c r="T5" s="1">
        <v>83135</v>
      </c>
      <c r="U5" s="1">
        <v>85840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38393</v>
      </c>
      <c r="N6" s="117">
        <v>45941</v>
      </c>
      <c r="O6" s="117">
        <v>48277</v>
      </c>
      <c r="P6" s="117">
        <v>46052</v>
      </c>
      <c r="Q6" s="117">
        <v>51416</v>
      </c>
      <c r="R6" s="1">
        <v>55232</v>
      </c>
      <c r="S6" s="1">
        <v>61043</v>
      </c>
      <c r="T6" s="1">
        <v>47798</v>
      </c>
      <c r="U6" s="1">
        <v>55766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45418</v>
      </c>
      <c r="N7" s="117">
        <v>45822</v>
      </c>
      <c r="O7" s="117">
        <v>45715</v>
      </c>
      <c r="P7" s="117">
        <v>43260</v>
      </c>
      <c r="Q7" s="117">
        <v>53411</v>
      </c>
      <c r="R7" s="1">
        <v>51076</v>
      </c>
      <c r="S7" s="1">
        <v>58471</v>
      </c>
      <c r="T7" s="1">
        <v>65631</v>
      </c>
      <c r="U7" s="1">
        <v>65347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>
        <v>0</v>
      </c>
      <c r="M8" s="117">
        <v>49332</v>
      </c>
      <c r="N8" s="117">
        <v>50665</v>
      </c>
      <c r="O8" s="117">
        <v>50965</v>
      </c>
      <c r="P8" s="117">
        <v>52202</v>
      </c>
      <c r="Q8" s="117">
        <v>59604</v>
      </c>
      <c r="R8" s="1">
        <v>58421</v>
      </c>
      <c r="S8" s="1">
        <v>81253</v>
      </c>
      <c r="T8" s="1">
        <v>77612</v>
      </c>
      <c r="U8" s="1">
        <v>80726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>
        <v>33404</v>
      </c>
      <c r="M9" s="117">
        <v>50844</v>
      </c>
      <c r="N9" s="117">
        <v>53413</v>
      </c>
      <c r="O9" s="117">
        <v>55659</v>
      </c>
      <c r="P9" s="117">
        <v>54369</v>
      </c>
      <c r="Q9" s="117">
        <v>60179</v>
      </c>
      <c r="R9" s="1">
        <v>69055</v>
      </c>
      <c r="S9" s="1">
        <v>78542</v>
      </c>
      <c r="T9" s="1">
        <v>78157</v>
      </c>
      <c r="U9" s="1">
        <v>74431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>
        <v>52228</v>
      </c>
      <c r="M10" s="117">
        <v>54938</v>
      </c>
      <c r="N10" s="117">
        <v>58422</v>
      </c>
      <c r="O10" s="117">
        <v>60105</v>
      </c>
      <c r="P10" s="117">
        <v>64888</v>
      </c>
      <c r="Q10" s="117">
        <v>68764</v>
      </c>
      <c r="R10" s="1">
        <v>81610</v>
      </c>
      <c r="S10" s="1">
        <v>82984</v>
      </c>
      <c r="T10" s="1">
        <v>90559</v>
      </c>
      <c r="U10" s="1">
        <v>95696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>
        <v>52886</v>
      </c>
      <c r="M11" s="117">
        <v>49828</v>
      </c>
      <c r="N11" s="117">
        <v>53699</v>
      </c>
      <c r="O11" s="117">
        <v>58084</v>
      </c>
      <c r="P11" s="117">
        <v>66154</v>
      </c>
      <c r="Q11" s="117">
        <v>65911</v>
      </c>
      <c r="R11" s="1">
        <v>78590</v>
      </c>
      <c r="S11" s="1">
        <v>75750</v>
      </c>
      <c r="T11" s="1">
        <v>104239</v>
      </c>
      <c r="U11" s="1">
        <v>103984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>
        <v>57452</v>
      </c>
      <c r="M12" s="117">
        <v>69146</v>
      </c>
      <c r="N12" s="117">
        <v>60775</v>
      </c>
      <c r="O12" s="117">
        <v>68939</v>
      </c>
      <c r="P12" s="117">
        <v>69228</v>
      </c>
      <c r="Q12" s="117">
        <v>75524</v>
      </c>
      <c r="R12" s="1">
        <v>78976</v>
      </c>
      <c r="S12" s="1">
        <v>83618</v>
      </c>
      <c r="T12" s="1">
        <v>88821</v>
      </c>
      <c r="U12" s="1">
        <v>91449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>
        <v>54421</v>
      </c>
      <c r="M13" s="117">
        <v>58869</v>
      </c>
      <c r="N13" s="117">
        <v>61493</v>
      </c>
      <c r="O13" s="117">
        <v>61172</v>
      </c>
      <c r="P13" s="117">
        <v>67531</v>
      </c>
      <c r="Q13" s="117">
        <v>72221</v>
      </c>
      <c r="R13" s="2">
        <v>75012</v>
      </c>
      <c r="S13" s="1">
        <v>77001</v>
      </c>
      <c r="T13" s="1">
        <v>92695</v>
      </c>
      <c r="U13" s="1">
        <v>98153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>
        <v>54297</v>
      </c>
      <c r="M14" s="117">
        <v>57754</v>
      </c>
      <c r="N14" s="117">
        <v>53745</v>
      </c>
      <c r="O14" s="117">
        <v>63435</v>
      </c>
      <c r="P14" s="117">
        <v>64669</v>
      </c>
      <c r="Q14" s="117">
        <v>70680</v>
      </c>
      <c r="R14" s="1">
        <v>76020</v>
      </c>
      <c r="S14" s="1">
        <v>85890</v>
      </c>
      <c r="T14" s="1">
        <v>98769</v>
      </c>
      <c r="U14" s="1">
        <v>96540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>
        <v>54419</v>
      </c>
      <c r="M15" s="117">
        <v>54119</v>
      </c>
      <c r="N15" s="117">
        <v>51263</v>
      </c>
      <c r="O15" s="117">
        <v>58316</v>
      </c>
      <c r="P15" s="117">
        <v>68354</v>
      </c>
      <c r="Q15" s="117">
        <v>71351</v>
      </c>
      <c r="R15" s="1">
        <v>74317</v>
      </c>
      <c r="S15" s="1">
        <v>108742</v>
      </c>
      <c r="T15" s="1">
        <v>88817</v>
      </c>
      <c r="U15" s="1">
        <v>87745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>
        <v>48477</v>
      </c>
      <c r="M16" s="95">
        <v>51316</v>
      </c>
      <c r="N16" s="95">
        <v>53803</v>
      </c>
      <c r="O16" s="95">
        <v>59697</v>
      </c>
      <c r="P16" s="95">
        <v>62200</v>
      </c>
      <c r="Q16" s="95">
        <v>63380</v>
      </c>
      <c r="R16" s="1">
        <v>68034</v>
      </c>
      <c r="S16" s="1">
        <v>83365</v>
      </c>
      <c r="T16" s="1">
        <v>84238</v>
      </c>
      <c r="U16" s="1">
        <v>83794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>
        <f t="shared" ref="L17" si="0">SUM(L5:L16)</f>
        <v>407584</v>
      </c>
      <c r="M17" s="96">
        <f t="shared" ref="M17:Q17" si="1">SUM(M5:M16)</f>
        <v>636041</v>
      </c>
      <c r="N17" s="96">
        <f t="shared" si="1"/>
        <v>646941</v>
      </c>
      <c r="O17" s="96">
        <f t="shared" si="1"/>
        <v>691608</v>
      </c>
      <c r="P17" s="96">
        <f t="shared" si="1"/>
        <v>719523</v>
      </c>
      <c r="Q17" s="96">
        <f t="shared" si="1"/>
        <v>777539</v>
      </c>
      <c r="R17" s="126">
        <f t="shared" ref="R17:S17" si="2">SUM(R5:R16)</f>
        <v>832778</v>
      </c>
      <c r="S17" s="126">
        <f t="shared" si="2"/>
        <v>951293</v>
      </c>
      <c r="T17" s="126">
        <f t="shared" ref="T17:U17" si="3">SUM(T5:T16)</f>
        <v>1000471</v>
      </c>
      <c r="U17" s="126">
        <f t="shared" si="3"/>
        <v>1019471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3010</v>
      </c>
      <c r="N24" s="117">
        <v>3541</v>
      </c>
      <c r="O24" s="117">
        <v>6429</v>
      </c>
      <c r="P24" s="117">
        <v>3723</v>
      </c>
      <c r="Q24" s="117">
        <v>3941</v>
      </c>
      <c r="R24" s="1">
        <v>5551</v>
      </c>
      <c r="S24" s="1">
        <v>3238</v>
      </c>
      <c r="T24" s="1">
        <v>3713</v>
      </c>
      <c r="U24" s="1">
        <v>3645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7719</v>
      </c>
      <c r="N25" s="117">
        <v>8498</v>
      </c>
      <c r="O25" s="117">
        <v>3134</v>
      </c>
      <c r="P25" s="117">
        <v>1930</v>
      </c>
      <c r="Q25" s="117">
        <v>1842</v>
      </c>
      <c r="R25" s="1">
        <v>1689</v>
      </c>
      <c r="S25" s="1">
        <v>2096</v>
      </c>
      <c r="T25" s="1">
        <v>2958</v>
      </c>
      <c r="U25" s="1">
        <v>5585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770</v>
      </c>
      <c r="N26" s="117">
        <v>2263</v>
      </c>
      <c r="O26" s="117">
        <v>1460</v>
      </c>
      <c r="P26" s="117">
        <v>2053</v>
      </c>
      <c r="Q26" s="117">
        <v>3857</v>
      </c>
      <c r="R26" s="113">
        <v>2253</v>
      </c>
      <c r="S26" s="1">
        <v>3508</v>
      </c>
      <c r="T26" s="1">
        <v>4390</v>
      </c>
      <c r="U26" s="1">
        <v>4688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>
        <v>0</v>
      </c>
      <c r="M27" s="117">
        <v>2392</v>
      </c>
      <c r="N27" s="117">
        <v>2163</v>
      </c>
      <c r="O27" s="117">
        <v>4174</v>
      </c>
      <c r="P27" s="117">
        <v>2727</v>
      </c>
      <c r="Q27" s="117">
        <v>3965</v>
      </c>
      <c r="R27" s="1">
        <v>2685</v>
      </c>
      <c r="S27" s="1">
        <v>2966</v>
      </c>
      <c r="T27" s="1">
        <v>4531</v>
      </c>
      <c r="U27" s="1">
        <v>3352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>
        <v>836</v>
      </c>
      <c r="M28" s="117">
        <v>1321</v>
      </c>
      <c r="N28" s="117">
        <v>1808</v>
      </c>
      <c r="O28" s="117">
        <v>1959</v>
      </c>
      <c r="P28" s="117">
        <v>1599</v>
      </c>
      <c r="Q28" s="117">
        <v>1534</v>
      </c>
      <c r="R28" s="1">
        <v>5688</v>
      </c>
      <c r="S28" s="1">
        <v>2394</v>
      </c>
      <c r="T28" s="1">
        <v>2665</v>
      </c>
      <c r="U28" s="1">
        <v>4158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>
        <v>1613</v>
      </c>
      <c r="M29" s="117">
        <v>1530</v>
      </c>
      <c r="N29" s="117">
        <v>1589</v>
      </c>
      <c r="O29" s="117">
        <v>1637</v>
      </c>
      <c r="P29" s="117">
        <v>1767</v>
      </c>
      <c r="Q29" s="117">
        <v>1645</v>
      </c>
      <c r="R29" s="113">
        <v>4993</v>
      </c>
      <c r="S29" s="1">
        <v>3401</v>
      </c>
      <c r="T29" s="1">
        <v>2626</v>
      </c>
      <c r="U29" s="1">
        <v>2766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>
        <v>1714</v>
      </c>
      <c r="M30" s="117">
        <v>1501</v>
      </c>
      <c r="N30" s="117">
        <v>2305</v>
      </c>
      <c r="O30" s="117">
        <v>1939</v>
      </c>
      <c r="P30" s="117">
        <v>2472</v>
      </c>
      <c r="Q30" s="117">
        <v>4595</v>
      </c>
      <c r="R30" s="1">
        <v>993</v>
      </c>
      <c r="S30" s="1">
        <v>25284</v>
      </c>
      <c r="T30" s="1">
        <v>3390</v>
      </c>
      <c r="U30" s="1">
        <v>3054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>
        <v>1890</v>
      </c>
      <c r="M31" s="117">
        <v>1629</v>
      </c>
      <c r="N31" s="117">
        <v>2252</v>
      </c>
      <c r="O31" s="117">
        <v>2624</v>
      </c>
      <c r="P31" s="117">
        <v>2188</v>
      </c>
      <c r="Q31" s="117">
        <v>1964</v>
      </c>
      <c r="R31" s="1">
        <v>3148</v>
      </c>
      <c r="S31" s="1">
        <v>6394</v>
      </c>
      <c r="T31" s="1">
        <v>8832</v>
      </c>
      <c r="U31" s="1">
        <v>3219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>
        <v>2142</v>
      </c>
      <c r="M32" s="117">
        <v>1764</v>
      </c>
      <c r="N32" s="117">
        <v>2752</v>
      </c>
      <c r="O32" s="117">
        <v>4015</v>
      </c>
      <c r="P32" s="117">
        <v>2826</v>
      </c>
      <c r="Q32" s="117">
        <v>3836</v>
      </c>
      <c r="R32" s="2">
        <v>2521</v>
      </c>
      <c r="S32" s="1">
        <v>7403</v>
      </c>
      <c r="T32" s="1">
        <v>4339</v>
      </c>
      <c r="U32" s="1">
        <v>3440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>
        <v>2294</v>
      </c>
      <c r="M33" s="117">
        <v>6450</v>
      </c>
      <c r="N33" s="117">
        <v>4073</v>
      </c>
      <c r="O33" s="117">
        <v>2726</v>
      </c>
      <c r="P33" s="117">
        <v>3180</v>
      </c>
      <c r="Q33" s="117">
        <v>4306</v>
      </c>
      <c r="R33" s="1">
        <v>2186</v>
      </c>
      <c r="S33" s="1">
        <v>2615</v>
      </c>
      <c r="T33" s="1">
        <v>3648</v>
      </c>
      <c r="U33" s="1">
        <v>9671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>
        <v>2160</v>
      </c>
      <c r="M34" s="117">
        <v>1662</v>
      </c>
      <c r="N34" s="117">
        <v>2863</v>
      </c>
      <c r="O34" s="117">
        <v>1718</v>
      </c>
      <c r="P34" s="117">
        <v>2862</v>
      </c>
      <c r="Q34" s="117">
        <v>3285</v>
      </c>
      <c r="R34" s="1">
        <v>2304</v>
      </c>
      <c r="S34" s="1">
        <v>2030</v>
      </c>
      <c r="T34" s="1">
        <v>7969</v>
      </c>
      <c r="U34" s="1">
        <v>5438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>
        <v>907</v>
      </c>
      <c r="M35" s="95">
        <v>1568</v>
      </c>
      <c r="N35" s="95">
        <v>3304</v>
      </c>
      <c r="O35" s="95">
        <v>2232</v>
      </c>
      <c r="P35" s="95">
        <v>4045</v>
      </c>
      <c r="Q35" s="95">
        <v>1609</v>
      </c>
      <c r="R35" s="1">
        <v>2138</v>
      </c>
      <c r="S35" s="1">
        <v>4171</v>
      </c>
      <c r="T35" s="1">
        <v>5105</v>
      </c>
      <c r="U35" s="1">
        <v>3741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>
        <f t="shared" ref="L36:Q36" si="4">SUM(L24:L35)</f>
        <v>13556</v>
      </c>
      <c r="M36" s="96">
        <f t="shared" si="4"/>
        <v>31316</v>
      </c>
      <c r="N36" s="96">
        <f t="shared" si="4"/>
        <v>37411</v>
      </c>
      <c r="O36" s="96">
        <f t="shared" si="4"/>
        <v>34047</v>
      </c>
      <c r="P36" s="96">
        <f t="shared" si="4"/>
        <v>31372</v>
      </c>
      <c r="Q36" s="96">
        <f t="shared" si="4"/>
        <v>36379</v>
      </c>
      <c r="R36" s="126">
        <f t="shared" ref="R36:S36" si="5">SUM(R24:R35)</f>
        <v>36149</v>
      </c>
      <c r="S36" s="126">
        <f t="shared" si="5"/>
        <v>65500</v>
      </c>
      <c r="T36" s="126">
        <f t="shared" ref="T36:U36" si="6">SUM(T24:T35)</f>
        <v>54166</v>
      </c>
      <c r="U36" s="126">
        <f t="shared" si="6"/>
        <v>52757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>
        <v>-9</v>
      </c>
      <c r="N42" s="117">
        <v>0</v>
      </c>
      <c r="O42" s="117">
        <v>0</v>
      </c>
      <c r="P42" s="117">
        <v>0</v>
      </c>
      <c r="Q42" s="117">
        <v>-2219</v>
      </c>
      <c r="R42" s="1">
        <v>-17</v>
      </c>
      <c r="S42" s="117">
        <v>0</v>
      </c>
      <c r="T42" s="1">
        <v>0</v>
      </c>
      <c r="U42" s="1">
        <v>-2956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>
        <v>-341</v>
      </c>
      <c r="N43" s="117">
        <v>-122</v>
      </c>
      <c r="O43" s="117">
        <v>0</v>
      </c>
      <c r="P43" s="117">
        <v>0</v>
      </c>
      <c r="Q43" s="117">
        <v>0</v>
      </c>
      <c r="R43" s="113">
        <v>-523</v>
      </c>
      <c r="S43" s="117">
        <v>-30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>
        <v>0</v>
      </c>
      <c r="N44" s="117">
        <v>0</v>
      </c>
      <c r="O44" s="117">
        <v>-34</v>
      </c>
      <c r="P44" s="117">
        <v>0</v>
      </c>
      <c r="Q44" s="117">
        <v>-98</v>
      </c>
      <c r="R44" s="117">
        <v>0</v>
      </c>
      <c r="S44" s="117">
        <v>0</v>
      </c>
      <c r="T44" s="1">
        <v>0</v>
      </c>
      <c r="U44" s="117">
        <v>-100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7">
        <v>-1038</v>
      </c>
      <c r="N45" s="117">
        <v>-1984</v>
      </c>
      <c r="O45" s="117">
        <v>0</v>
      </c>
      <c r="P45" s="117">
        <v>0</v>
      </c>
      <c r="Q45" s="117">
        <v>-233</v>
      </c>
      <c r="R45" s="1">
        <v>-1658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0</v>
      </c>
      <c r="M46" s="117">
        <v>0</v>
      </c>
      <c r="N46" s="117">
        <v>0</v>
      </c>
      <c r="O46" s="117">
        <v>-27</v>
      </c>
      <c r="P46" s="117">
        <v>-1</v>
      </c>
      <c r="Q46" s="117">
        <v>0</v>
      </c>
      <c r="R46" s="1">
        <v>-523</v>
      </c>
      <c r="S46" s="117">
        <v>0</v>
      </c>
      <c r="T46" s="1">
        <v>-10</v>
      </c>
      <c r="U46" s="117">
        <v>-4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-14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0</v>
      </c>
      <c r="M48" s="117">
        <v>0</v>
      </c>
      <c r="N48" s="117">
        <v>-2</v>
      </c>
      <c r="O48" s="117">
        <v>0</v>
      </c>
      <c r="P48" s="117">
        <v>0</v>
      </c>
      <c r="Q48" s="117">
        <v>0</v>
      </c>
      <c r="R48" s="1">
        <v>-1645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7">
        <v>-1450</v>
      </c>
      <c r="N49" s="117">
        <v>0</v>
      </c>
      <c r="O49" s="117">
        <v>-2</v>
      </c>
      <c r="P49" s="117">
        <v>0</v>
      </c>
      <c r="Q49" s="117">
        <v>0</v>
      </c>
      <c r="R49" s="117">
        <v>0</v>
      </c>
      <c r="S49" s="117">
        <v>-147</v>
      </c>
      <c r="T49" s="1">
        <v>-70</v>
      </c>
      <c r="U49" s="117">
        <v>-256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0</v>
      </c>
      <c r="M50" s="117">
        <v>0</v>
      </c>
      <c r="N50" s="117">
        <v>-114</v>
      </c>
      <c r="O50" s="117">
        <v>0</v>
      </c>
      <c r="P50" s="117">
        <v>0</v>
      </c>
      <c r="Q50" s="117">
        <v>-230</v>
      </c>
      <c r="R50" s="2">
        <v>-1355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0</v>
      </c>
      <c r="M51" s="117">
        <v>0</v>
      </c>
      <c r="N51" s="117">
        <v>-11</v>
      </c>
      <c r="O51" s="117">
        <v>-4155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-9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-97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-97</v>
      </c>
      <c r="S52" s="117">
        <v>0</v>
      </c>
      <c r="T52" s="1">
        <v>-981</v>
      </c>
      <c r="U52" s="117">
        <v>0</v>
      </c>
    </row>
    <row r="53" spans="1:21" x14ac:dyDescent="0.2">
      <c r="A53" s="26" t="s">
        <v>11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>
        <v>0</v>
      </c>
      <c r="M53" s="168">
        <v>-749</v>
      </c>
      <c r="N53" s="168">
        <v>0</v>
      </c>
      <c r="O53" s="168">
        <v>0</v>
      </c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7">SUM(L42:L53)</f>
        <v>-97</v>
      </c>
      <c r="M54" s="96">
        <f t="shared" ref="M54:Q54" si="8">SUM(M42:M53)</f>
        <v>-3587</v>
      </c>
      <c r="N54" s="96">
        <f t="shared" si="8"/>
        <v>-2233</v>
      </c>
      <c r="O54" s="96">
        <f t="shared" si="8"/>
        <v>-4218</v>
      </c>
      <c r="P54" s="96">
        <f t="shared" si="8"/>
        <v>-1</v>
      </c>
      <c r="Q54" s="96">
        <f t="shared" si="8"/>
        <v>-2780</v>
      </c>
      <c r="R54" s="126">
        <f t="shared" ref="R54:S54" si="9">SUM(R42:R53)</f>
        <v>-5832</v>
      </c>
      <c r="S54" s="126">
        <f t="shared" si="9"/>
        <v>-177</v>
      </c>
      <c r="T54" s="126">
        <f t="shared" ref="T54:U54" si="10">SUM(T42:T53)</f>
        <v>-1061</v>
      </c>
      <c r="U54" s="126">
        <f t="shared" si="10"/>
        <v>-3325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28515625" customWidth="1"/>
    <col min="7" max="7" width="6.7109375" bestFit="1" customWidth="1"/>
    <col min="8" max="11" width="5" bestFit="1" customWidth="1"/>
    <col min="12" max="21" width="10.7109375" bestFit="1" customWidth="1"/>
  </cols>
  <sheetData>
    <row r="1" spans="1:21" x14ac:dyDescent="0.2">
      <c r="A1" s="121" t="s">
        <v>161</v>
      </c>
    </row>
    <row r="2" spans="1:21" x14ac:dyDescent="0.2">
      <c r="A2" s="24" t="s">
        <v>84</v>
      </c>
      <c r="B2" s="6">
        <v>5.0000000000000001E-3</v>
      </c>
      <c r="D2" s="94" t="s">
        <v>206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255003</v>
      </c>
      <c r="N5" s="117">
        <v>277762</v>
      </c>
      <c r="O5" s="117">
        <v>278259</v>
      </c>
      <c r="P5" s="117">
        <v>271869</v>
      </c>
      <c r="Q5" s="117">
        <v>306104</v>
      </c>
      <c r="R5" s="1">
        <v>315370</v>
      </c>
      <c r="S5" s="1">
        <v>359541</v>
      </c>
      <c r="T5" s="1">
        <v>346366</v>
      </c>
      <c r="U5" s="1">
        <v>385398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206003</v>
      </c>
      <c r="N6" s="117">
        <v>207425</v>
      </c>
      <c r="O6" s="117">
        <v>209164</v>
      </c>
      <c r="P6" s="117">
        <v>213817</v>
      </c>
      <c r="Q6" s="117">
        <v>236072</v>
      </c>
      <c r="R6" s="1">
        <v>237216</v>
      </c>
      <c r="S6" s="1">
        <v>302560</v>
      </c>
      <c r="T6" s="1">
        <v>293675</v>
      </c>
      <c r="U6" s="1">
        <v>312800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220091</v>
      </c>
      <c r="N7" s="117">
        <v>204900</v>
      </c>
      <c r="O7" s="117">
        <v>204569</v>
      </c>
      <c r="P7" s="117">
        <v>202314</v>
      </c>
      <c r="Q7" s="117">
        <v>220589</v>
      </c>
      <c r="R7" s="1">
        <v>236686</v>
      </c>
      <c r="S7" s="1">
        <v>289896</v>
      </c>
      <c r="T7" s="1">
        <v>290327</v>
      </c>
      <c r="U7" s="1">
        <v>288790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>
        <v>0</v>
      </c>
      <c r="M8" s="117">
        <v>219466</v>
      </c>
      <c r="N8" s="117">
        <v>237455</v>
      </c>
      <c r="O8" s="117">
        <v>234070</v>
      </c>
      <c r="P8" s="117">
        <v>264245</v>
      </c>
      <c r="Q8" s="117">
        <v>264117</v>
      </c>
      <c r="R8" s="1">
        <v>245540</v>
      </c>
      <c r="S8" s="1">
        <v>365071</v>
      </c>
      <c r="T8" s="1">
        <v>341434</v>
      </c>
      <c r="U8" s="1">
        <v>337716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>
        <v>170028</v>
      </c>
      <c r="M9" s="117">
        <v>222213</v>
      </c>
      <c r="N9" s="117">
        <v>228718</v>
      </c>
      <c r="O9" s="117">
        <v>236548</v>
      </c>
      <c r="P9" s="117">
        <v>242478</v>
      </c>
      <c r="Q9" s="117">
        <v>262542</v>
      </c>
      <c r="R9" s="1">
        <v>259089</v>
      </c>
      <c r="S9" s="1">
        <v>333845</v>
      </c>
      <c r="T9" s="1">
        <v>316623</v>
      </c>
      <c r="U9" s="1">
        <v>320652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>
        <v>243203</v>
      </c>
      <c r="M10" s="117">
        <v>261085</v>
      </c>
      <c r="N10" s="117">
        <v>261493</v>
      </c>
      <c r="O10" s="117">
        <v>271459</v>
      </c>
      <c r="P10" s="117">
        <v>303750</v>
      </c>
      <c r="Q10" s="117">
        <v>316287</v>
      </c>
      <c r="R10" s="1">
        <v>331902</v>
      </c>
      <c r="S10" s="1">
        <v>373458</v>
      </c>
      <c r="T10" s="1">
        <v>445684</v>
      </c>
      <c r="U10" s="1">
        <v>405057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>
        <v>230301</v>
      </c>
      <c r="M11" s="117">
        <v>235717</v>
      </c>
      <c r="N11" s="117">
        <v>248048</v>
      </c>
      <c r="O11" s="117">
        <v>254255</v>
      </c>
      <c r="P11" s="117">
        <v>264870</v>
      </c>
      <c r="Q11" s="117">
        <v>314021</v>
      </c>
      <c r="R11" s="1">
        <v>320943</v>
      </c>
      <c r="S11" s="1">
        <v>392633</v>
      </c>
      <c r="T11" s="1">
        <v>420118</v>
      </c>
      <c r="U11" s="1">
        <v>449092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>
        <v>285126</v>
      </c>
      <c r="M12" s="117">
        <v>332290</v>
      </c>
      <c r="N12" s="117">
        <v>312714</v>
      </c>
      <c r="O12" s="117">
        <v>328176</v>
      </c>
      <c r="P12" s="117">
        <v>360354</v>
      </c>
      <c r="Q12" s="117">
        <v>357376</v>
      </c>
      <c r="R12" s="1">
        <v>393490</v>
      </c>
      <c r="S12" s="1">
        <v>435678</v>
      </c>
      <c r="T12" s="1">
        <v>423152</v>
      </c>
      <c r="U12" s="1">
        <v>428201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>
        <v>252907</v>
      </c>
      <c r="M13" s="117">
        <v>274125</v>
      </c>
      <c r="N13" s="117">
        <v>273145</v>
      </c>
      <c r="O13" s="117">
        <v>287655</v>
      </c>
      <c r="P13" s="117">
        <v>304481</v>
      </c>
      <c r="Q13" s="117">
        <v>325557</v>
      </c>
      <c r="R13" s="2">
        <v>335009</v>
      </c>
      <c r="S13" s="1">
        <v>373824</v>
      </c>
      <c r="T13" s="1">
        <v>393680</v>
      </c>
      <c r="U13" s="1">
        <v>412890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>
        <v>252324</v>
      </c>
      <c r="M14" s="117">
        <v>263421</v>
      </c>
      <c r="N14" s="117">
        <v>271404</v>
      </c>
      <c r="O14" s="117">
        <v>269817</v>
      </c>
      <c r="P14" s="117">
        <v>284915</v>
      </c>
      <c r="Q14" s="117">
        <v>311551</v>
      </c>
      <c r="R14" s="1">
        <v>343665</v>
      </c>
      <c r="S14" s="1">
        <v>404458</v>
      </c>
      <c r="T14" s="1">
        <v>389789</v>
      </c>
      <c r="U14" s="1">
        <v>394535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>
        <v>236177</v>
      </c>
      <c r="M15" s="117">
        <v>249186</v>
      </c>
      <c r="N15" s="117">
        <v>253745</v>
      </c>
      <c r="O15" s="117">
        <v>253605</v>
      </c>
      <c r="P15" s="117">
        <v>278586</v>
      </c>
      <c r="Q15" s="117">
        <v>287829</v>
      </c>
      <c r="R15" s="1">
        <v>311988</v>
      </c>
      <c r="S15" s="1">
        <v>348364</v>
      </c>
      <c r="T15" s="1">
        <v>374318</v>
      </c>
      <c r="U15" s="1">
        <v>371079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>
        <v>225613</v>
      </c>
      <c r="M16" s="95">
        <v>220934</v>
      </c>
      <c r="N16" s="95">
        <v>237455</v>
      </c>
      <c r="O16" s="95">
        <v>245306</v>
      </c>
      <c r="P16" s="95">
        <v>266524</v>
      </c>
      <c r="Q16" s="95">
        <v>265060</v>
      </c>
      <c r="R16" s="1">
        <v>292833</v>
      </c>
      <c r="S16" s="1">
        <v>324534</v>
      </c>
      <c r="T16" s="1">
        <v>410976</v>
      </c>
      <c r="U16" s="1">
        <v>343258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>
        <f t="shared" ref="L17" si="0">SUM(L5:L16)</f>
        <v>1895679</v>
      </c>
      <c r="M17" s="96">
        <f t="shared" ref="M17:Q17" si="1">SUM(M5:M16)</f>
        <v>2959534</v>
      </c>
      <c r="N17" s="96">
        <f t="shared" si="1"/>
        <v>3014264</v>
      </c>
      <c r="O17" s="96">
        <f t="shared" si="1"/>
        <v>3072883</v>
      </c>
      <c r="P17" s="96">
        <f t="shared" si="1"/>
        <v>3258203</v>
      </c>
      <c r="Q17" s="96">
        <f t="shared" si="1"/>
        <v>3467105</v>
      </c>
      <c r="R17" s="126">
        <f t="shared" ref="R17:S17" si="2">SUM(R5:R16)</f>
        <v>3623731</v>
      </c>
      <c r="S17" s="126">
        <f t="shared" si="2"/>
        <v>4303862</v>
      </c>
      <c r="T17" s="126">
        <f t="shared" ref="T17:U17" si="3">SUM(T5:T16)</f>
        <v>4446142</v>
      </c>
      <c r="U17" s="126">
        <f t="shared" si="3"/>
        <v>4449468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31539</v>
      </c>
      <c r="N24" s="117">
        <v>138189</v>
      </c>
      <c r="O24" s="117">
        <v>14699</v>
      </c>
      <c r="P24" s="117">
        <v>10072</v>
      </c>
      <c r="Q24" s="117">
        <v>25727</v>
      </c>
      <c r="R24" s="1">
        <v>17350</v>
      </c>
      <c r="S24" s="1">
        <v>20392</v>
      </c>
      <c r="T24" s="1">
        <v>17569</v>
      </c>
      <c r="U24" s="1">
        <v>12075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181035</v>
      </c>
      <c r="N25" s="117">
        <v>19076</v>
      </c>
      <c r="O25" s="117">
        <v>11757</v>
      </c>
      <c r="P25" s="117">
        <v>8541</v>
      </c>
      <c r="Q25" s="117">
        <v>11982</v>
      </c>
      <c r="R25" s="1">
        <v>17099</v>
      </c>
      <c r="S25" s="1">
        <v>19263</v>
      </c>
      <c r="T25" s="1">
        <v>15145</v>
      </c>
      <c r="U25" s="1">
        <v>15524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9310</v>
      </c>
      <c r="N26" s="117">
        <v>50353</v>
      </c>
      <c r="O26" s="117">
        <v>6802</v>
      </c>
      <c r="P26" s="117">
        <v>7605</v>
      </c>
      <c r="Q26" s="117">
        <v>13653</v>
      </c>
      <c r="R26" s="1">
        <v>6963</v>
      </c>
      <c r="S26" s="1">
        <v>29603</v>
      </c>
      <c r="T26" s="1">
        <v>13379</v>
      </c>
      <c r="U26" s="1">
        <v>8526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>
        <v>0</v>
      </c>
      <c r="M27" s="117">
        <v>12159</v>
      </c>
      <c r="N27" s="117">
        <v>296187</v>
      </c>
      <c r="O27" s="117">
        <v>207476</v>
      </c>
      <c r="P27" s="117">
        <v>11274</v>
      </c>
      <c r="Q27" s="117">
        <v>8772</v>
      </c>
      <c r="R27" s="117">
        <v>7554</v>
      </c>
      <c r="S27" s="1">
        <v>27855</v>
      </c>
      <c r="T27" s="1">
        <v>12328</v>
      </c>
      <c r="U27" s="1">
        <v>23548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>
        <v>6463</v>
      </c>
      <c r="M28" s="117">
        <v>94917</v>
      </c>
      <c r="N28" s="117">
        <v>38493</v>
      </c>
      <c r="O28" s="117">
        <v>9661</v>
      </c>
      <c r="P28" s="117">
        <v>15076</v>
      </c>
      <c r="Q28" s="117">
        <v>8886</v>
      </c>
      <c r="R28" s="1">
        <v>6356</v>
      </c>
      <c r="S28" s="1">
        <v>18896</v>
      </c>
      <c r="T28" s="1">
        <v>14563</v>
      </c>
      <c r="U28" s="1">
        <v>9107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>
        <v>10156</v>
      </c>
      <c r="M29" s="117">
        <v>15463</v>
      </c>
      <c r="N29" s="117">
        <v>18761</v>
      </c>
      <c r="O29" s="117">
        <v>23255</v>
      </c>
      <c r="P29" s="117">
        <v>11573</v>
      </c>
      <c r="Q29" s="117">
        <v>8669</v>
      </c>
      <c r="R29" s="1">
        <v>7387</v>
      </c>
      <c r="S29" s="1">
        <v>16688</v>
      </c>
      <c r="T29" s="1">
        <v>20999</v>
      </c>
      <c r="U29" s="1">
        <v>14798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>
        <v>12385</v>
      </c>
      <c r="M30" s="117">
        <v>16842</v>
      </c>
      <c r="N30" s="117">
        <v>21866</v>
      </c>
      <c r="O30" s="117">
        <v>12946</v>
      </c>
      <c r="P30" s="117">
        <v>11257</v>
      </c>
      <c r="Q30" s="117">
        <v>25427</v>
      </c>
      <c r="R30" s="1">
        <v>10362</v>
      </c>
      <c r="S30" s="1">
        <v>414072</v>
      </c>
      <c r="T30" s="1">
        <v>19787</v>
      </c>
      <c r="U30" s="1">
        <v>20650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>
        <v>22159</v>
      </c>
      <c r="M31" s="117">
        <v>15710</v>
      </c>
      <c r="N31" s="117">
        <v>13659</v>
      </c>
      <c r="O31" s="117">
        <v>13036</v>
      </c>
      <c r="P31" s="117">
        <v>15749</v>
      </c>
      <c r="Q31" s="117">
        <v>14047</v>
      </c>
      <c r="R31" s="1">
        <v>12188</v>
      </c>
      <c r="S31" s="1">
        <v>27595</v>
      </c>
      <c r="T31" s="1">
        <v>19236</v>
      </c>
      <c r="U31" s="1">
        <v>16419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>
        <v>19874</v>
      </c>
      <c r="M32" s="117">
        <v>10368</v>
      </c>
      <c r="N32" s="117">
        <v>14009</v>
      </c>
      <c r="O32" s="117">
        <v>53827</v>
      </c>
      <c r="P32" s="117">
        <v>9338</v>
      </c>
      <c r="Q32" s="117">
        <v>18098</v>
      </c>
      <c r="R32" s="2">
        <v>12521</v>
      </c>
      <c r="S32" s="1">
        <v>29399</v>
      </c>
      <c r="T32" s="1">
        <v>10127</v>
      </c>
      <c r="U32" s="1">
        <v>20833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>
        <v>23451</v>
      </c>
      <c r="M33" s="117">
        <v>15945</v>
      </c>
      <c r="N33" s="117">
        <v>15824</v>
      </c>
      <c r="O33" s="117">
        <v>13078</v>
      </c>
      <c r="P33" s="117">
        <v>17209</v>
      </c>
      <c r="Q33" s="117">
        <v>28596</v>
      </c>
      <c r="R33" s="1">
        <v>17133</v>
      </c>
      <c r="S33" s="1">
        <v>35491</v>
      </c>
      <c r="T33" s="1">
        <v>14120</v>
      </c>
      <c r="U33" s="1">
        <v>17811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>
        <v>15477</v>
      </c>
      <c r="M34" s="117">
        <v>35302</v>
      </c>
      <c r="N34" s="117">
        <v>9308</v>
      </c>
      <c r="O34" s="117">
        <v>14842</v>
      </c>
      <c r="P34" s="117">
        <v>19421</v>
      </c>
      <c r="Q34" s="117">
        <v>25767</v>
      </c>
      <c r="R34" s="1">
        <v>11767</v>
      </c>
      <c r="S34" s="1">
        <v>8727</v>
      </c>
      <c r="T34" s="1">
        <v>14102</v>
      </c>
      <c r="U34" s="1">
        <v>17275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>
        <v>14050</v>
      </c>
      <c r="M35" s="95">
        <v>24553</v>
      </c>
      <c r="N35" s="95">
        <v>8657</v>
      </c>
      <c r="O35" s="95">
        <v>10888</v>
      </c>
      <c r="P35" s="95">
        <v>13320</v>
      </c>
      <c r="Q35" s="95">
        <v>16497</v>
      </c>
      <c r="R35" s="1">
        <v>12270</v>
      </c>
      <c r="S35" s="1">
        <v>12824</v>
      </c>
      <c r="T35" s="1">
        <v>12912</v>
      </c>
      <c r="U35" s="1">
        <v>15011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>
        <f t="shared" ref="L36:Q36" si="4">SUM(L24:L35)</f>
        <v>124015</v>
      </c>
      <c r="M36" s="96">
        <f t="shared" si="4"/>
        <v>463143</v>
      </c>
      <c r="N36" s="96">
        <f t="shared" si="4"/>
        <v>644382</v>
      </c>
      <c r="O36" s="96">
        <f t="shared" si="4"/>
        <v>392267</v>
      </c>
      <c r="P36" s="96">
        <f t="shared" si="4"/>
        <v>150435</v>
      </c>
      <c r="Q36" s="96">
        <f t="shared" si="4"/>
        <v>206121</v>
      </c>
      <c r="R36" s="126">
        <f t="shared" ref="R36:S36" si="5">SUM(R24:R35)</f>
        <v>138950</v>
      </c>
      <c r="S36" s="126">
        <f t="shared" si="5"/>
        <v>660805</v>
      </c>
      <c r="T36" s="126">
        <f t="shared" ref="T36:U36" si="6">SUM(T24:T35)</f>
        <v>184267</v>
      </c>
      <c r="U36" s="126">
        <f t="shared" si="6"/>
        <v>191577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>
        <v>0</v>
      </c>
      <c r="N42" s="117">
        <v>-22</v>
      </c>
      <c r="O42" s="117">
        <v>-8</v>
      </c>
      <c r="P42" s="117">
        <v>-89</v>
      </c>
      <c r="Q42" s="117">
        <v>-6</v>
      </c>
      <c r="R42" s="117">
        <v>-15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>
        <v>0</v>
      </c>
      <c r="N43" s="117">
        <v>-439</v>
      </c>
      <c r="O43" s="117">
        <v>-153</v>
      </c>
      <c r="P43" s="117">
        <v>0</v>
      </c>
      <c r="Q43" s="117">
        <v>-258</v>
      </c>
      <c r="R43" s="117">
        <v>0</v>
      </c>
      <c r="S43" s="117">
        <v>0</v>
      </c>
      <c r="T43" s="1">
        <v>0</v>
      </c>
      <c r="U43" s="117">
        <v>-4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>
        <v>-510</v>
      </c>
      <c r="N44" s="117">
        <v>-397</v>
      </c>
      <c r="O44" s="117">
        <v>-2719</v>
      </c>
      <c r="P44" s="117">
        <v>-9409</v>
      </c>
      <c r="Q44" s="117">
        <v>0</v>
      </c>
      <c r="R44" s="113">
        <v>-77</v>
      </c>
      <c r="S44" s="117">
        <v>-14</v>
      </c>
      <c r="T44" s="1">
        <v>-2278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7">
        <v>0</v>
      </c>
      <c r="N45" s="117">
        <v>-146</v>
      </c>
      <c r="O45" s="117">
        <v>-6444</v>
      </c>
      <c r="P45" s="117">
        <v>-149</v>
      </c>
      <c r="Q45" s="117">
        <v>-63</v>
      </c>
      <c r="R45" s="1">
        <v>-15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0</v>
      </c>
      <c r="M46" s="117">
        <v>-15</v>
      </c>
      <c r="N46" s="117">
        <v>0</v>
      </c>
      <c r="O46" s="117">
        <v>-13720</v>
      </c>
      <c r="P46" s="117">
        <v>-449</v>
      </c>
      <c r="Q46" s="117">
        <v>0</v>
      </c>
      <c r="R46" s="117">
        <v>-77</v>
      </c>
      <c r="S46" s="117">
        <v>0</v>
      </c>
      <c r="T46" s="1">
        <v>-1369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7">
        <v>-90</v>
      </c>
      <c r="N47" s="117">
        <v>-2826</v>
      </c>
      <c r="O47" s="117">
        <v>-4974</v>
      </c>
      <c r="P47" s="117">
        <v>-64</v>
      </c>
      <c r="Q47" s="117">
        <v>-1</v>
      </c>
      <c r="R47" s="1">
        <v>-264</v>
      </c>
      <c r="S47" s="117">
        <v>-496</v>
      </c>
      <c r="T47" s="1">
        <v>-9943</v>
      </c>
      <c r="U47" s="117">
        <v>-66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0</v>
      </c>
      <c r="M48" s="117">
        <v>0</v>
      </c>
      <c r="N48" s="117">
        <v>0</v>
      </c>
      <c r="O48" s="117">
        <v>-51</v>
      </c>
      <c r="P48" s="117">
        <v>0</v>
      </c>
      <c r="Q48" s="117">
        <v>-1041</v>
      </c>
      <c r="R48" s="1">
        <v>-27</v>
      </c>
      <c r="S48" s="117">
        <v>0</v>
      </c>
      <c r="T48" s="1">
        <v>-9</v>
      </c>
      <c r="U48" s="117">
        <v>-410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7">
        <v>-35</v>
      </c>
      <c r="N49" s="117">
        <v>-1083</v>
      </c>
      <c r="O49" s="117">
        <v>-70</v>
      </c>
      <c r="P49" s="117">
        <v>0</v>
      </c>
      <c r="Q49" s="117">
        <v>-405</v>
      </c>
      <c r="R49" s="117">
        <v>-77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0</v>
      </c>
      <c r="M50" s="117">
        <v>-1</v>
      </c>
      <c r="N50" s="117">
        <v>-806</v>
      </c>
      <c r="O50" s="117">
        <v>-2821</v>
      </c>
      <c r="P50" s="117">
        <v>0</v>
      </c>
      <c r="Q50" s="117">
        <v>-1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-1260</v>
      </c>
      <c r="M51" s="117">
        <v>-1695</v>
      </c>
      <c r="N51" s="117">
        <v>-60</v>
      </c>
      <c r="O51" s="117">
        <v>-197</v>
      </c>
      <c r="P51" s="117">
        <v>-90</v>
      </c>
      <c r="Q51" s="117">
        <v>0</v>
      </c>
      <c r="R51" s="117">
        <v>0</v>
      </c>
      <c r="S51" s="117">
        <v>-54</v>
      </c>
      <c r="T51" s="1">
        <v>0</v>
      </c>
      <c r="U51" s="1">
        <v>-1486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0</v>
      </c>
      <c r="M52" s="117">
        <v>0</v>
      </c>
      <c r="N52" s="117">
        <v>0</v>
      </c>
      <c r="O52" s="117">
        <v>-39</v>
      </c>
      <c r="P52" s="117">
        <v>0</v>
      </c>
      <c r="Q52" s="117">
        <v>0</v>
      </c>
      <c r="R52" s="1">
        <v>-291</v>
      </c>
      <c r="S52" s="117">
        <v>-9</v>
      </c>
      <c r="T52" s="1">
        <v>0</v>
      </c>
      <c r="U52" s="1">
        <v>-11059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168">
        <v>-11488</v>
      </c>
      <c r="M53" s="168">
        <v>-5635</v>
      </c>
      <c r="N53" s="168">
        <v>0</v>
      </c>
      <c r="O53" s="168">
        <v>-1498</v>
      </c>
      <c r="P53" s="168">
        <v>0</v>
      </c>
      <c r="Q53" s="168">
        <v>0</v>
      </c>
      <c r="R53" s="168">
        <v>0</v>
      </c>
      <c r="S53" s="182">
        <v>0</v>
      </c>
      <c r="T53" s="1">
        <v>-14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7">SUM(L42:L53)</f>
        <v>-12748</v>
      </c>
      <c r="M54" s="96">
        <f t="shared" ref="M54:Q54" si="8">SUM(M42:M53)</f>
        <v>-7981</v>
      </c>
      <c r="N54" s="96">
        <f t="shared" si="8"/>
        <v>-5779</v>
      </c>
      <c r="O54" s="96">
        <f t="shared" si="8"/>
        <v>-32694</v>
      </c>
      <c r="P54" s="96">
        <f t="shared" si="8"/>
        <v>-10250</v>
      </c>
      <c r="Q54" s="96">
        <f t="shared" si="8"/>
        <v>-1775</v>
      </c>
      <c r="R54" s="126">
        <f t="shared" ref="R54:S54" si="9">SUM(R42:R53)</f>
        <v>-843</v>
      </c>
      <c r="S54" s="126">
        <f t="shared" si="9"/>
        <v>-573</v>
      </c>
      <c r="T54" s="126">
        <f t="shared" ref="T54:U54" si="10">SUM(T42:T53)</f>
        <v>-13613</v>
      </c>
      <c r="U54" s="126">
        <f t="shared" si="10"/>
        <v>-13025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206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>
        <v>5820</v>
      </c>
      <c r="N60" s="117">
        <v>6460</v>
      </c>
      <c r="O60" s="117">
        <v>6680</v>
      </c>
      <c r="P60" s="117">
        <v>19040</v>
      </c>
      <c r="Q60" s="117">
        <v>8420</v>
      </c>
      <c r="R60" s="117">
        <v>9000</v>
      </c>
      <c r="S60" s="117">
        <v>5760</v>
      </c>
      <c r="T60" s="1">
        <v>5700</v>
      </c>
      <c r="U60" s="1">
        <v>5500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>
        <v>5440</v>
      </c>
      <c r="N61" s="117">
        <v>5460</v>
      </c>
      <c r="O61" s="117">
        <v>3880</v>
      </c>
      <c r="P61" s="117">
        <v>4180</v>
      </c>
      <c r="Q61" s="117">
        <v>8400</v>
      </c>
      <c r="R61" s="1">
        <v>4720</v>
      </c>
      <c r="S61" s="1">
        <v>3740</v>
      </c>
      <c r="T61" s="1">
        <v>4620</v>
      </c>
      <c r="U61" s="1">
        <v>3880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>
        <v>6420</v>
      </c>
      <c r="N62" s="117">
        <v>6840</v>
      </c>
      <c r="O62" s="117">
        <v>4640</v>
      </c>
      <c r="P62" s="117">
        <v>5960</v>
      </c>
      <c r="Q62" s="117">
        <v>5700</v>
      </c>
      <c r="R62" s="117">
        <v>6000</v>
      </c>
      <c r="S62" s="117">
        <v>5800</v>
      </c>
      <c r="T62" s="1">
        <v>8340</v>
      </c>
      <c r="U62" s="117">
        <v>4580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>
        <v>0</v>
      </c>
      <c r="M63" s="117">
        <v>6880</v>
      </c>
      <c r="N63" s="117">
        <v>5600</v>
      </c>
      <c r="O63" s="117">
        <v>7200</v>
      </c>
      <c r="P63" s="117">
        <v>8380</v>
      </c>
      <c r="Q63" s="117">
        <v>8260</v>
      </c>
      <c r="R63" s="117">
        <v>6980</v>
      </c>
      <c r="S63" s="1">
        <v>9020</v>
      </c>
      <c r="T63" s="1">
        <v>7320</v>
      </c>
      <c r="U63" s="1">
        <v>6360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>
        <v>5500</v>
      </c>
      <c r="M64" s="117">
        <v>5760</v>
      </c>
      <c r="N64" s="117">
        <v>5060</v>
      </c>
      <c r="O64" s="117">
        <v>6640</v>
      </c>
      <c r="P64" s="117">
        <v>6320</v>
      </c>
      <c r="Q64" s="117">
        <v>6620</v>
      </c>
      <c r="R64" s="117">
        <v>4360</v>
      </c>
      <c r="S64" s="117">
        <v>7400</v>
      </c>
      <c r="T64" s="1">
        <v>5060</v>
      </c>
      <c r="U64" s="1">
        <v>4820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3">
        <v>5560</v>
      </c>
      <c r="M65" s="117">
        <v>4900</v>
      </c>
      <c r="N65" s="117">
        <v>4980</v>
      </c>
      <c r="O65" s="117">
        <v>5480</v>
      </c>
      <c r="P65" s="117">
        <v>5620</v>
      </c>
      <c r="Q65" s="117">
        <v>6340</v>
      </c>
      <c r="R65" s="113">
        <v>6220</v>
      </c>
      <c r="S65" s="1">
        <v>10900</v>
      </c>
      <c r="T65" s="1">
        <v>4040</v>
      </c>
      <c r="U65" s="1">
        <v>5660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>
        <v>6360</v>
      </c>
      <c r="M66" s="117">
        <v>8020</v>
      </c>
      <c r="N66" s="117">
        <v>6240</v>
      </c>
      <c r="O66" s="117">
        <v>6380</v>
      </c>
      <c r="P66" s="117">
        <v>6540</v>
      </c>
      <c r="Q66" s="117">
        <v>8100</v>
      </c>
      <c r="R66" s="1">
        <v>8720</v>
      </c>
      <c r="S66" s="1">
        <v>8460</v>
      </c>
      <c r="T66" s="1">
        <v>6160</v>
      </c>
      <c r="U66" s="1">
        <v>7260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>
        <v>6940</v>
      </c>
      <c r="M67" s="117">
        <v>6560</v>
      </c>
      <c r="N67" s="117">
        <v>6380</v>
      </c>
      <c r="O67" s="117">
        <v>5200</v>
      </c>
      <c r="P67" s="117">
        <v>6320</v>
      </c>
      <c r="Q67" s="117">
        <v>7460</v>
      </c>
      <c r="R67" s="1">
        <v>7480</v>
      </c>
      <c r="S67" s="1">
        <v>6580</v>
      </c>
      <c r="T67" s="1">
        <v>5540</v>
      </c>
      <c r="U67" s="1">
        <v>5400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>
        <v>5520</v>
      </c>
      <c r="M68" s="117">
        <v>6200</v>
      </c>
      <c r="N68" s="117">
        <v>6220</v>
      </c>
      <c r="O68" s="117">
        <v>6600</v>
      </c>
      <c r="P68" s="117">
        <v>7340</v>
      </c>
      <c r="Q68" s="117">
        <v>6840</v>
      </c>
      <c r="R68" s="117">
        <v>6940</v>
      </c>
      <c r="S68" s="1">
        <v>5420</v>
      </c>
      <c r="T68" s="1">
        <v>5200</v>
      </c>
      <c r="U68" s="1">
        <v>5260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>
        <v>6440</v>
      </c>
      <c r="M69" s="117">
        <v>11160</v>
      </c>
      <c r="N69" s="117">
        <v>6240</v>
      </c>
      <c r="O69" s="117">
        <v>5820</v>
      </c>
      <c r="P69" s="117">
        <v>6840</v>
      </c>
      <c r="Q69" s="117">
        <v>7320</v>
      </c>
      <c r="R69" s="1">
        <v>8200</v>
      </c>
      <c r="S69" s="117">
        <v>6640</v>
      </c>
      <c r="T69" s="1">
        <v>6420</v>
      </c>
      <c r="U69" s="1">
        <v>6640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>
        <v>6260</v>
      </c>
      <c r="M70" s="117">
        <v>6300</v>
      </c>
      <c r="N70" s="117">
        <v>5500</v>
      </c>
      <c r="O70" s="117">
        <v>6500</v>
      </c>
      <c r="P70" s="117">
        <v>8140</v>
      </c>
      <c r="Q70" s="117">
        <v>8300</v>
      </c>
      <c r="R70" s="1">
        <v>7080</v>
      </c>
      <c r="S70" s="1">
        <v>5660</v>
      </c>
      <c r="T70" s="1">
        <v>5180</v>
      </c>
      <c r="U70" s="1">
        <v>4720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40">
        <v>4580</v>
      </c>
      <c r="M71" s="95">
        <v>4660</v>
      </c>
      <c r="N71" s="95">
        <v>4220</v>
      </c>
      <c r="O71" s="95">
        <v>4040</v>
      </c>
      <c r="P71" s="95">
        <v>4760</v>
      </c>
      <c r="Q71" s="95">
        <v>5340</v>
      </c>
      <c r="R71" s="1">
        <v>4840</v>
      </c>
      <c r="S71" s="1">
        <v>5720</v>
      </c>
      <c r="T71" s="1">
        <v>4320</v>
      </c>
      <c r="U71" s="1">
        <v>4540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>
        <f t="shared" ref="L72" si="11">SUM(L60:L71)</f>
        <v>47160</v>
      </c>
      <c r="M72" s="96">
        <f t="shared" ref="M72:Q72" si="12">SUM(M60:M71)</f>
        <v>78120</v>
      </c>
      <c r="N72" s="96">
        <f t="shared" si="12"/>
        <v>69200</v>
      </c>
      <c r="O72" s="96">
        <f t="shared" si="12"/>
        <v>69060</v>
      </c>
      <c r="P72" s="96">
        <f t="shared" si="12"/>
        <v>89440</v>
      </c>
      <c r="Q72" s="96">
        <f t="shared" si="12"/>
        <v>87100</v>
      </c>
      <c r="R72" s="126">
        <f t="shared" ref="R72:S72" si="13">SUM(R60:R71)</f>
        <v>80540</v>
      </c>
      <c r="S72" s="126">
        <f t="shared" si="13"/>
        <v>81100</v>
      </c>
      <c r="T72" s="126">
        <f t="shared" ref="T72:U72" si="14">SUM(T60:T71)</f>
        <v>67900</v>
      </c>
      <c r="U72" s="126">
        <f t="shared" si="14"/>
        <v>64620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85546875" customWidth="1"/>
    <col min="5" max="5" width="5" bestFit="1" customWidth="1"/>
    <col min="6" max="6" width="5.28515625" customWidth="1"/>
    <col min="7" max="7" width="5.7109375" bestFit="1" customWidth="1"/>
    <col min="8" max="11" width="5" bestFit="1" customWidth="1"/>
    <col min="12" max="12" width="9.140625" bestFit="1" customWidth="1"/>
    <col min="13" max="14" width="10.7109375" bestFit="1" customWidth="1"/>
    <col min="15" max="15" width="10.5703125" customWidth="1"/>
    <col min="16" max="21" width="10.7109375" bestFit="1" customWidth="1"/>
  </cols>
  <sheetData>
    <row r="1" spans="1:21" x14ac:dyDescent="0.2">
      <c r="A1" s="121" t="s">
        <v>162</v>
      </c>
    </row>
    <row r="2" spans="1:21" x14ac:dyDescent="0.2">
      <c r="A2" s="24" t="s">
        <v>84</v>
      </c>
      <c r="B2" s="6">
        <v>5.0000000000000001E-3</v>
      </c>
      <c r="D2" s="94" t="s">
        <v>207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159340</v>
      </c>
      <c r="N5" s="117">
        <v>179816</v>
      </c>
      <c r="O5" s="117">
        <v>180937</v>
      </c>
      <c r="P5" s="117">
        <v>176175</v>
      </c>
      <c r="Q5" s="117">
        <v>203332</v>
      </c>
      <c r="R5" s="1">
        <v>203709</v>
      </c>
      <c r="S5" s="1">
        <v>232846</v>
      </c>
      <c r="T5" s="1">
        <v>257357</v>
      </c>
      <c r="U5" s="1">
        <v>261663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127198</v>
      </c>
      <c r="N6" s="117">
        <v>121226</v>
      </c>
      <c r="O6" s="117">
        <v>139194</v>
      </c>
      <c r="P6" s="117">
        <v>147484</v>
      </c>
      <c r="Q6" s="117">
        <v>152367</v>
      </c>
      <c r="R6" s="1">
        <v>178871</v>
      </c>
      <c r="S6" s="1">
        <v>194661</v>
      </c>
      <c r="T6" s="1">
        <v>211787</v>
      </c>
      <c r="U6" s="1">
        <v>239287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132717</v>
      </c>
      <c r="N7" s="117">
        <v>120286</v>
      </c>
      <c r="O7" s="117">
        <v>136501</v>
      </c>
      <c r="P7" s="117">
        <v>119616</v>
      </c>
      <c r="Q7" s="117">
        <v>147717</v>
      </c>
      <c r="R7" s="1">
        <v>185015</v>
      </c>
      <c r="S7" s="1">
        <v>199681</v>
      </c>
      <c r="T7" s="1">
        <v>251657</v>
      </c>
      <c r="U7" s="1">
        <v>213272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149302</v>
      </c>
      <c r="N8" s="117">
        <v>146615</v>
      </c>
      <c r="O8" s="117">
        <v>159923</v>
      </c>
      <c r="P8" s="117">
        <v>163213</v>
      </c>
      <c r="Q8" s="117">
        <v>180745</v>
      </c>
      <c r="R8" s="1">
        <v>174928</v>
      </c>
      <c r="S8" s="1">
        <v>251907</v>
      </c>
      <c r="T8" s="1">
        <v>266405</v>
      </c>
      <c r="U8" s="1">
        <v>252834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157083</v>
      </c>
      <c r="N9" s="117">
        <v>160947</v>
      </c>
      <c r="O9" s="117">
        <v>188513</v>
      </c>
      <c r="P9" s="117">
        <v>164730</v>
      </c>
      <c r="Q9" s="117">
        <v>188651</v>
      </c>
      <c r="R9" s="1">
        <v>198083</v>
      </c>
      <c r="S9" s="1">
        <v>272164</v>
      </c>
      <c r="T9" s="1">
        <v>250572</v>
      </c>
      <c r="U9" s="1">
        <v>256757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182924</v>
      </c>
      <c r="N10" s="117">
        <v>192464</v>
      </c>
      <c r="O10" s="117">
        <v>215357</v>
      </c>
      <c r="P10" s="117">
        <v>248228</v>
      </c>
      <c r="Q10" s="117">
        <v>241235</v>
      </c>
      <c r="R10" s="1">
        <v>268456</v>
      </c>
      <c r="S10" s="1">
        <v>322759</v>
      </c>
      <c r="T10" s="1">
        <v>375778</v>
      </c>
      <c r="U10" s="1">
        <v>367813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>
        <v>125</v>
      </c>
      <c r="M11" s="117">
        <v>169827</v>
      </c>
      <c r="N11" s="117">
        <v>175124</v>
      </c>
      <c r="O11" s="117">
        <v>197779</v>
      </c>
      <c r="P11" s="117">
        <v>204029</v>
      </c>
      <c r="Q11" s="117">
        <v>258852</v>
      </c>
      <c r="R11" s="1">
        <v>246500</v>
      </c>
      <c r="S11" s="1">
        <v>316228</v>
      </c>
      <c r="T11" s="1">
        <v>388371</v>
      </c>
      <c r="U11" s="1">
        <v>416459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>
        <v>165479</v>
      </c>
      <c r="M12" s="117">
        <v>245966</v>
      </c>
      <c r="N12" s="117">
        <v>275360</v>
      </c>
      <c r="O12" s="117">
        <v>292885</v>
      </c>
      <c r="P12" s="117">
        <v>452260</v>
      </c>
      <c r="Q12" s="117">
        <v>287662</v>
      </c>
      <c r="R12" s="1">
        <v>353411</v>
      </c>
      <c r="S12" s="1">
        <v>360392</v>
      </c>
      <c r="T12" s="1">
        <v>376438</v>
      </c>
      <c r="U12" s="1">
        <v>367939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>
        <v>194749</v>
      </c>
      <c r="M13" s="117">
        <v>190904</v>
      </c>
      <c r="N13" s="117">
        <v>212174</v>
      </c>
      <c r="O13" s="117">
        <v>223944</v>
      </c>
      <c r="P13" s="117">
        <v>247904</v>
      </c>
      <c r="Q13" s="117">
        <v>265030</v>
      </c>
      <c r="R13" s="2">
        <v>266234</v>
      </c>
      <c r="S13" s="1">
        <v>324613</v>
      </c>
      <c r="T13" s="1">
        <v>365609</v>
      </c>
      <c r="U13" s="1">
        <v>388122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>
        <v>166407</v>
      </c>
      <c r="M14" s="117">
        <v>185436</v>
      </c>
      <c r="N14" s="117">
        <v>194615</v>
      </c>
      <c r="O14" s="117">
        <v>202783</v>
      </c>
      <c r="P14" s="117">
        <v>213514</v>
      </c>
      <c r="Q14" s="117">
        <v>229811</v>
      </c>
      <c r="R14" s="1">
        <v>246335</v>
      </c>
      <c r="S14" s="1">
        <v>283609</v>
      </c>
      <c r="T14" s="1">
        <v>324698</v>
      </c>
      <c r="U14" s="1">
        <v>324805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>
        <v>176918</v>
      </c>
      <c r="M15" s="117">
        <v>161583</v>
      </c>
      <c r="N15" s="117">
        <v>162216</v>
      </c>
      <c r="O15" s="117">
        <v>186443</v>
      </c>
      <c r="P15" s="117">
        <v>202920</v>
      </c>
      <c r="Q15" s="117">
        <v>212412</v>
      </c>
      <c r="R15" s="1">
        <v>218710</v>
      </c>
      <c r="S15" s="1">
        <v>262291</v>
      </c>
      <c r="T15" s="1">
        <v>289863</v>
      </c>
      <c r="U15" s="1">
        <v>272478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>
        <v>141400</v>
      </c>
      <c r="M16" s="95">
        <v>143660</v>
      </c>
      <c r="N16" s="95">
        <v>156367</v>
      </c>
      <c r="O16" s="95">
        <v>158392</v>
      </c>
      <c r="P16" s="95">
        <v>180405</v>
      </c>
      <c r="Q16" s="95">
        <v>197008</v>
      </c>
      <c r="R16" s="1">
        <v>203471</v>
      </c>
      <c r="S16" s="1">
        <v>216302</v>
      </c>
      <c r="T16" s="1">
        <v>258373</v>
      </c>
      <c r="U16" s="1">
        <v>275507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>
        <f t="shared" ref="L17" si="0">SUM(L5:L16)</f>
        <v>845078</v>
      </c>
      <c r="M17" s="96">
        <f t="shared" ref="M17:Q17" si="1">SUM(M5:M16)</f>
        <v>2005940</v>
      </c>
      <c r="N17" s="96">
        <f t="shared" si="1"/>
        <v>2097210</v>
      </c>
      <c r="O17" s="96">
        <f t="shared" si="1"/>
        <v>2282651</v>
      </c>
      <c r="P17" s="96">
        <f t="shared" si="1"/>
        <v>2520478</v>
      </c>
      <c r="Q17" s="96">
        <f t="shared" si="1"/>
        <v>2564822</v>
      </c>
      <c r="R17" s="126">
        <f t="shared" ref="R17:S17" si="2">SUM(R5:R16)</f>
        <v>2743723</v>
      </c>
      <c r="S17" s="126">
        <f t="shared" si="2"/>
        <v>3237453</v>
      </c>
      <c r="T17" s="126">
        <f t="shared" ref="T17:U17" si="3">SUM(T5:T16)</f>
        <v>3616908</v>
      </c>
      <c r="U17" s="126">
        <f t="shared" si="3"/>
        <v>3636936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207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11841</v>
      </c>
      <c r="N24" s="117">
        <v>9688</v>
      </c>
      <c r="O24" s="117">
        <v>8955</v>
      </c>
      <c r="P24" s="117">
        <v>17171</v>
      </c>
      <c r="Q24" s="117">
        <v>15104</v>
      </c>
      <c r="R24" s="117">
        <v>13270</v>
      </c>
      <c r="S24" s="1">
        <v>16579</v>
      </c>
      <c r="T24" s="1">
        <v>19073</v>
      </c>
      <c r="U24" s="1">
        <v>13590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7770</v>
      </c>
      <c r="N25" s="117">
        <v>7583</v>
      </c>
      <c r="O25" s="117">
        <v>9122</v>
      </c>
      <c r="P25" s="117">
        <v>28753</v>
      </c>
      <c r="Q25" s="117">
        <v>9043</v>
      </c>
      <c r="R25" s="1">
        <v>12279</v>
      </c>
      <c r="S25" s="1">
        <v>7620</v>
      </c>
      <c r="T25" s="1">
        <v>8605</v>
      </c>
      <c r="U25" s="1">
        <v>9696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10194</v>
      </c>
      <c r="N26" s="117">
        <v>5019</v>
      </c>
      <c r="O26" s="117">
        <v>4443</v>
      </c>
      <c r="P26" s="117">
        <v>6854</v>
      </c>
      <c r="Q26" s="117">
        <v>9497</v>
      </c>
      <c r="R26" s="113">
        <v>7100</v>
      </c>
      <c r="S26" s="1">
        <v>7219</v>
      </c>
      <c r="T26" s="1">
        <v>7133</v>
      </c>
      <c r="U26" s="1">
        <v>9584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13724</v>
      </c>
      <c r="N27" s="117">
        <v>5619</v>
      </c>
      <c r="O27" s="117">
        <v>6292</v>
      </c>
      <c r="P27" s="117">
        <v>7199</v>
      </c>
      <c r="Q27" s="117">
        <v>8062</v>
      </c>
      <c r="R27" s="117">
        <v>8198</v>
      </c>
      <c r="S27" s="1">
        <v>11117</v>
      </c>
      <c r="T27" s="1">
        <v>11079</v>
      </c>
      <c r="U27" s="1">
        <v>11185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10353</v>
      </c>
      <c r="N28" s="117">
        <v>6372</v>
      </c>
      <c r="O28" s="117">
        <v>5241</v>
      </c>
      <c r="P28" s="117">
        <v>6846</v>
      </c>
      <c r="Q28" s="117">
        <v>7787</v>
      </c>
      <c r="R28" s="1">
        <v>7085</v>
      </c>
      <c r="S28" s="1">
        <v>10518</v>
      </c>
      <c r="T28" s="1">
        <v>7905</v>
      </c>
      <c r="U28" s="1">
        <v>8952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20818</v>
      </c>
      <c r="N29" s="117">
        <v>9418</v>
      </c>
      <c r="O29" s="117">
        <v>12805</v>
      </c>
      <c r="P29" s="117">
        <v>9514</v>
      </c>
      <c r="Q29" s="117">
        <v>9473</v>
      </c>
      <c r="R29" s="1">
        <v>10780</v>
      </c>
      <c r="S29" s="1">
        <v>13743</v>
      </c>
      <c r="T29" s="1">
        <v>10440</v>
      </c>
      <c r="U29" s="1">
        <v>13342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>
        <v>0</v>
      </c>
      <c r="M30" s="117">
        <v>11778</v>
      </c>
      <c r="N30" s="117">
        <v>9387</v>
      </c>
      <c r="O30" s="117">
        <v>12645</v>
      </c>
      <c r="P30" s="117">
        <v>11276</v>
      </c>
      <c r="Q30" s="117">
        <v>12062</v>
      </c>
      <c r="R30" s="1">
        <v>14025</v>
      </c>
      <c r="S30" s="1">
        <v>14999</v>
      </c>
      <c r="T30" s="1">
        <v>13704</v>
      </c>
      <c r="U30" s="1">
        <v>29425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>
        <v>9291</v>
      </c>
      <c r="M31" s="117">
        <v>11077</v>
      </c>
      <c r="N31" s="117">
        <v>11144</v>
      </c>
      <c r="O31" s="117">
        <v>13898</v>
      </c>
      <c r="P31" s="117">
        <v>14802</v>
      </c>
      <c r="Q31" s="117">
        <v>19172</v>
      </c>
      <c r="R31" s="1">
        <v>14945</v>
      </c>
      <c r="S31" s="1">
        <v>10236</v>
      </c>
      <c r="T31" s="1">
        <v>10037</v>
      </c>
      <c r="U31" s="1">
        <v>13674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>
        <v>6793</v>
      </c>
      <c r="M32" s="117">
        <v>7544</v>
      </c>
      <c r="N32" s="117">
        <v>7023</v>
      </c>
      <c r="O32" s="117">
        <v>10741</v>
      </c>
      <c r="P32" s="117">
        <v>9501</v>
      </c>
      <c r="Q32" s="117">
        <v>10892</v>
      </c>
      <c r="R32" s="2">
        <v>11614</v>
      </c>
      <c r="S32" s="1">
        <v>7283</v>
      </c>
      <c r="T32" s="1">
        <v>14591</v>
      </c>
      <c r="U32" s="1">
        <v>18927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>
        <v>14467</v>
      </c>
      <c r="M33" s="117">
        <v>8340</v>
      </c>
      <c r="N33" s="117">
        <v>6934</v>
      </c>
      <c r="O33" s="117">
        <v>10523</v>
      </c>
      <c r="P33" s="117">
        <v>9783</v>
      </c>
      <c r="Q33" s="117">
        <v>11515</v>
      </c>
      <c r="R33" s="1">
        <v>11488</v>
      </c>
      <c r="S33" s="1">
        <v>10384</v>
      </c>
      <c r="T33" s="1">
        <v>15317</v>
      </c>
      <c r="U33" s="1">
        <v>20070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>
        <v>7579</v>
      </c>
      <c r="M34" s="117">
        <v>8764</v>
      </c>
      <c r="N34" s="117">
        <v>5525</v>
      </c>
      <c r="O34" s="117">
        <v>8010</v>
      </c>
      <c r="P34" s="117">
        <v>13256</v>
      </c>
      <c r="Q34" s="117">
        <v>12844</v>
      </c>
      <c r="R34" s="1">
        <v>10846</v>
      </c>
      <c r="S34" s="1">
        <v>3031</v>
      </c>
      <c r="T34" s="1">
        <v>13167</v>
      </c>
      <c r="U34" s="1">
        <v>13587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>
        <v>8413</v>
      </c>
      <c r="M35" s="95">
        <v>4758</v>
      </c>
      <c r="N35" s="95">
        <v>5896</v>
      </c>
      <c r="O35" s="95">
        <v>14348</v>
      </c>
      <c r="P35" s="95">
        <v>12654</v>
      </c>
      <c r="Q35" s="95">
        <v>7463</v>
      </c>
      <c r="R35" s="1">
        <v>9097</v>
      </c>
      <c r="S35" s="1">
        <v>12467</v>
      </c>
      <c r="T35" s="1">
        <v>10658</v>
      </c>
      <c r="U35" s="1">
        <v>15667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>
        <f t="shared" ref="L36:Q36" si="4">SUM(L24:L35)</f>
        <v>46543</v>
      </c>
      <c r="M36" s="96">
        <f t="shared" si="4"/>
        <v>126961</v>
      </c>
      <c r="N36" s="96">
        <f t="shared" si="4"/>
        <v>89608</v>
      </c>
      <c r="O36" s="96">
        <f t="shared" si="4"/>
        <v>117023</v>
      </c>
      <c r="P36" s="96">
        <f t="shared" si="4"/>
        <v>147609</v>
      </c>
      <c r="Q36" s="96">
        <f t="shared" si="4"/>
        <v>132914</v>
      </c>
      <c r="R36" s="126">
        <f t="shared" ref="R36:S36" si="5">SUM(R24:R35)</f>
        <v>130727</v>
      </c>
      <c r="S36" s="126">
        <f t="shared" si="5"/>
        <v>125196</v>
      </c>
      <c r="T36" s="126">
        <f t="shared" ref="T36:U36" si="6">SUM(T24:T35)</f>
        <v>141709</v>
      </c>
      <c r="U36" s="126">
        <f t="shared" si="6"/>
        <v>177699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102"/>
      <c r="M42" s="102">
        <v>0</v>
      </c>
      <c r="N42" s="102">
        <v>-79</v>
      </c>
      <c r="O42" s="117">
        <v>-8</v>
      </c>
      <c r="P42" s="117">
        <v>-4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102"/>
      <c r="M43" s="102">
        <v>-2205</v>
      </c>
      <c r="N43" s="102">
        <v>-3899</v>
      </c>
      <c r="O43" s="117">
        <v>-68</v>
      </c>
      <c r="P43" s="117">
        <v>0</v>
      </c>
      <c r="Q43" s="117">
        <v>-11</v>
      </c>
      <c r="R43" s="1">
        <v>-588</v>
      </c>
      <c r="S43" s="117">
        <v>-126</v>
      </c>
      <c r="T43" s="1">
        <v>-133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102"/>
      <c r="M44" s="102">
        <v>0</v>
      </c>
      <c r="N44" s="102">
        <v>-389</v>
      </c>
      <c r="O44" s="117">
        <v>0</v>
      </c>
      <c r="P44" s="117">
        <v>0</v>
      </c>
      <c r="Q44" s="117">
        <v>0</v>
      </c>
      <c r="R44" s="1">
        <v>-39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102"/>
      <c r="M45" s="102">
        <v>-9</v>
      </c>
      <c r="N45" s="102">
        <v>-15340</v>
      </c>
      <c r="O45" s="117">
        <v>0</v>
      </c>
      <c r="P45" s="117">
        <v>-40</v>
      </c>
      <c r="Q45" s="117">
        <v>-3278</v>
      </c>
      <c r="R45" s="117">
        <v>0</v>
      </c>
      <c r="S45" s="1">
        <v>-427</v>
      </c>
      <c r="T45" s="1">
        <v>-215</v>
      </c>
      <c r="U45" s="1">
        <v>-239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102"/>
      <c r="M46" s="102">
        <v>0</v>
      </c>
      <c r="N46" s="102">
        <v>0</v>
      </c>
      <c r="O46" s="117">
        <v>0</v>
      </c>
      <c r="P46" s="117">
        <v>-123</v>
      </c>
      <c r="Q46" s="117">
        <v>0</v>
      </c>
      <c r="R46" s="117">
        <v>-55</v>
      </c>
      <c r="S46" s="117">
        <v>0</v>
      </c>
      <c r="T46" s="1">
        <v>-61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102"/>
      <c r="M47" s="102">
        <v>-11</v>
      </c>
      <c r="N47" s="102">
        <v>-333</v>
      </c>
      <c r="O47" s="117">
        <v>-561</v>
      </c>
      <c r="P47" s="117">
        <v>-372</v>
      </c>
      <c r="Q47" s="117">
        <v>0</v>
      </c>
      <c r="R47" s="117">
        <v>0</v>
      </c>
      <c r="S47" s="117">
        <v>0</v>
      </c>
      <c r="T47" s="1">
        <v>-182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102">
        <v>0</v>
      </c>
      <c r="M48" s="102">
        <v>-3037</v>
      </c>
      <c r="N48" s="102">
        <v>-498</v>
      </c>
      <c r="O48" s="117">
        <v>0</v>
      </c>
      <c r="P48" s="117">
        <v>-249</v>
      </c>
      <c r="Q48" s="117">
        <v>0</v>
      </c>
      <c r="R48" s="1">
        <v>-341</v>
      </c>
      <c r="S48" s="117">
        <v>0</v>
      </c>
      <c r="T48" s="1">
        <v>-4</v>
      </c>
      <c r="U48" s="117">
        <v>-121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102">
        <v>0</v>
      </c>
      <c r="M49" s="102">
        <v>-1042</v>
      </c>
      <c r="N49" s="102">
        <v>0</v>
      </c>
      <c r="O49" s="117">
        <v>-152</v>
      </c>
      <c r="P49" s="117">
        <v>0</v>
      </c>
      <c r="Q49" s="117">
        <v>0</v>
      </c>
      <c r="R49" s="117">
        <v>-236</v>
      </c>
      <c r="S49" s="1">
        <v>-5534</v>
      </c>
      <c r="T49" s="1">
        <v>-3</v>
      </c>
      <c r="U49" s="1">
        <v>-4088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102">
        <v>0</v>
      </c>
      <c r="M50" s="102">
        <v>-1</v>
      </c>
      <c r="N50" s="102">
        <v>-5397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">
        <v>-3941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102">
        <v>0</v>
      </c>
      <c r="M51" s="102">
        <v>0</v>
      </c>
      <c r="N51" s="102">
        <v>0</v>
      </c>
      <c r="O51" s="117">
        <v>0</v>
      </c>
      <c r="P51" s="117">
        <v>0</v>
      </c>
      <c r="Q51" s="117">
        <v>0</v>
      </c>
      <c r="R51" s="117">
        <v>-505</v>
      </c>
      <c r="S51" s="117">
        <v>-979</v>
      </c>
      <c r="T51" s="1">
        <v>0</v>
      </c>
      <c r="U51" s="1">
        <v>-10141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102">
        <v>0</v>
      </c>
      <c r="M52" s="102">
        <v>0</v>
      </c>
      <c r="N52" s="102">
        <v>0</v>
      </c>
      <c r="O52" s="117">
        <v>-740</v>
      </c>
      <c r="P52" s="117">
        <v>0</v>
      </c>
      <c r="Q52" s="117">
        <v>-588</v>
      </c>
      <c r="R52" s="1">
        <v>-8</v>
      </c>
      <c r="S52" s="117">
        <v>0</v>
      </c>
      <c r="T52" s="1">
        <v>-2039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167">
        <v>-2941</v>
      </c>
      <c r="M53" s="167">
        <v>0</v>
      </c>
      <c r="N53" s="167">
        <v>-53</v>
      </c>
      <c r="O53" s="95">
        <v>-61</v>
      </c>
      <c r="P53" s="95">
        <v>-12</v>
      </c>
      <c r="Q53" s="95">
        <v>-39</v>
      </c>
      <c r="R53" s="1">
        <v>0</v>
      </c>
      <c r="S53" s="1">
        <v>-1001</v>
      </c>
      <c r="T53" s="1">
        <v>-8</v>
      </c>
      <c r="U53" s="1">
        <v>-115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7">SUM(L42:L53)</f>
        <v>-2941</v>
      </c>
      <c r="M54" s="96">
        <f t="shared" ref="M54:Q54" si="8">SUM(M42:M53)</f>
        <v>-6305</v>
      </c>
      <c r="N54" s="96">
        <f t="shared" si="8"/>
        <v>-25988</v>
      </c>
      <c r="O54" s="96">
        <f t="shared" si="8"/>
        <v>-1590</v>
      </c>
      <c r="P54" s="96">
        <f t="shared" si="8"/>
        <v>-800</v>
      </c>
      <c r="Q54" s="96">
        <f t="shared" si="8"/>
        <v>-3916</v>
      </c>
      <c r="R54" s="126">
        <f t="shared" ref="R54:S54" si="9">SUM(R42:R53)</f>
        <v>-1772</v>
      </c>
      <c r="S54" s="126">
        <f t="shared" si="9"/>
        <v>-8067</v>
      </c>
      <c r="T54" s="126">
        <f t="shared" ref="T54:U54" si="10">SUM(T42:T53)</f>
        <v>-2645</v>
      </c>
      <c r="U54" s="126">
        <f t="shared" si="10"/>
        <v>-18645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2:U91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8.7109375" bestFit="1" customWidth="1"/>
    <col min="3" max="3" width="9.85546875" customWidth="1"/>
    <col min="4" max="4" width="10.140625" bestFit="1" customWidth="1"/>
    <col min="5" max="5" width="10.42578125" customWidth="1"/>
    <col min="6" max="6" width="8.85546875" bestFit="1" customWidth="1"/>
    <col min="7" max="8" width="8.7109375" bestFit="1" customWidth="1"/>
    <col min="9" max="11" width="10.140625" bestFit="1" customWidth="1"/>
    <col min="12" max="12" width="10.7109375" customWidth="1"/>
    <col min="13" max="21" width="10.7109375" bestFit="1" customWidth="1"/>
  </cols>
  <sheetData>
    <row r="2" spans="1:21" x14ac:dyDescent="0.2">
      <c r="A2" s="24" t="s">
        <v>36</v>
      </c>
      <c r="B2" s="147">
        <v>0.01</v>
      </c>
      <c r="C2" s="94" t="s">
        <v>184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  <c r="M4" s="94"/>
    </row>
    <row r="5" spans="1:21" x14ac:dyDescent="0.2">
      <c r="A5" s="26" t="s">
        <v>0</v>
      </c>
      <c r="B5" s="1">
        <v>78957</v>
      </c>
      <c r="C5" s="1">
        <v>77644</v>
      </c>
      <c r="D5" s="1">
        <v>83851.789999999994</v>
      </c>
      <c r="E5" s="1">
        <v>106146.88</v>
      </c>
      <c r="F5" s="1">
        <v>88955</v>
      </c>
      <c r="G5" s="1">
        <v>31.53</v>
      </c>
      <c r="H5" s="1">
        <v>1344.25</v>
      </c>
      <c r="I5" s="1">
        <v>91458</v>
      </c>
      <c r="J5" s="1">
        <v>85065</v>
      </c>
      <c r="K5" s="1">
        <v>99625</v>
      </c>
      <c r="L5" s="1">
        <v>105803</v>
      </c>
      <c r="M5" s="1">
        <v>110546</v>
      </c>
      <c r="N5" s="1">
        <v>109794</v>
      </c>
      <c r="O5" s="1">
        <v>119479</v>
      </c>
      <c r="P5" s="1">
        <v>127776</v>
      </c>
      <c r="Q5" s="1">
        <v>130602</v>
      </c>
      <c r="R5" s="1">
        <v>139554</v>
      </c>
      <c r="S5" s="1">
        <v>152354</v>
      </c>
      <c r="T5" s="1">
        <v>157104</v>
      </c>
      <c r="U5" s="1">
        <v>173743</v>
      </c>
    </row>
    <row r="6" spans="1:21" x14ac:dyDescent="0.2">
      <c r="A6" s="26" t="s">
        <v>1</v>
      </c>
      <c r="B6" s="1">
        <v>67807.22</v>
      </c>
      <c r="C6" s="1">
        <v>73964.06</v>
      </c>
      <c r="D6" s="1">
        <v>81175</v>
      </c>
      <c r="E6" s="1">
        <v>81050.429999999993</v>
      </c>
      <c r="F6" s="1">
        <v>83503</v>
      </c>
      <c r="G6" s="1">
        <v>-18715</v>
      </c>
      <c r="H6" s="1">
        <v>572.69000000000005</v>
      </c>
      <c r="I6" s="1">
        <v>135489</v>
      </c>
      <c r="J6" s="1">
        <v>117100</v>
      </c>
      <c r="K6" s="1">
        <v>77490</v>
      </c>
      <c r="L6" s="1">
        <v>86101</v>
      </c>
      <c r="M6" s="1">
        <v>90600</v>
      </c>
      <c r="N6" s="1">
        <v>90637</v>
      </c>
      <c r="O6" s="1">
        <v>88134</v>
      </c>
      <c r="P6" s="1">
        <v>98882</v>
      </c>
      <c r="Q6" s="1">
        <v>102520</v>
      </c>
      <c r="R6" s="1">
        <v>121007</v>
      </c>
      <c r="S6" s="1">
        <v>93030</v>
      </c>
      <c r="T6" s="1">
        <v>148640</v>
      </c>
      <c r="U6" s="1">
        <v>170222</v>
      </c>
    </row>
    <row r="7" spans="1:21" x14ac:dyDescent="0.2">
      <c r="A7" s="26" t="s">
        <v>2</v>
      </c>
      <c r="B7" s="1">
        <v>62680</v>
      </c>
      <c r="C7" s="1">
        <v>69692.509999999995</v>
      </c>
      <c r="D7" s="1">
        <v>65218</v>
      </c>
      <c r="E7" s="1">
        <v>68637</v>
      </c>
      <c r="F7" s="1">
        <v>81068.19</v>
      </c>
      <c r="G7" s="1">
        <v>11435.43</v>
      </c>
      <c r="H7" s="1">
        <v>-234</v>
      </c>
      <c r="I7" s="1">
        <v>8828</v>
      </c>
      <c r="J7" s="1">
        <v>66926</v>
      </c>
      <c r="K7" s="1">
        <v>80366</v>
      </c>
      <c r="L7" s="117">
        <v>76729</v>
      </c>
      <c r="M7" s="117">
        <v>80047</v>
      </c>
      <c r="N7" s="117">
        <v>91628</v>
      </c>
      <c r="O7" s="117">
        <v>84083</v>
      </c>
      <c r="P7" s="117">
        <v>88146</v>
      </c>
      <c r="Q7" s="117">
        <v>95497</v>
      </c>
      <c r="R7" s="1">
        <v>101437</v>
      </c>
      <c r="S7" s="1">
        <v>138147</v>
      </c>
      <c r="T7" s="1">
        <v>154024</v>
      </c>
      <c r="U7" s="1">
        <v>156812</v>
      </c>
    </row>
    <row r="8" spans="1:21" x14ac:dyDescent="0.2">
      <c r="A8" s="26" t="s">
        <v>3</v>
      </c>
      <c r="B8" s="1">
        <v>63766.51</v>
      </c>
      <c r="C8" s="1">
        <v>78418</v>
      </c>
      <c r="D8" s="1">
        <v>88091.9</v>
      </c>
      <c r="E8" s="1">
        <v>77087.48</v>
      </c>
      <c r="F8" s="1">
        <v>101735.35</v>
      </c>
      <c r="G8" s="1">
        <v>431</v>
      </c>
      <c r="H8" s="1">
        <v>0</v>
      </c>
      <c r="I8" s="1">
        <v>78515</v>
      </c>
      <c r="J8" s="1">
        <v>82654</v>
      </c>
      <c r="K8" s="1">
        <v>92564</v>
      </c>
      <c r="L8" s="117">
        <v>104437</v>
      </c>
      <c r="M8" s="117">
        <v>103081</v>
      </c>
      <c r="N8" s="117">
        <v>105298</v>
      </c>
      <c r="O8" s="117">
        <v>105488</v>
      </c>
      <c r="P8" s="117">
        <v>138167</v>
      </c>
      <c r="Q8" s="117">
        <v>174660</v>
      </c>
      <c r="R8" s="1">
        <v>105461</v>
      </c>
      <c r="S8" s="1">
        <v>173496</v>
      </c>
      <c r="T8" s="1">
        <v>176269</v>
      </c>
      <c r="U8" s="1">
        <v>190828</v>
      </c>
    </row>
    <row r="9" spans="1:21" x14ac:dyDescent="0.2">
      <c r="A9" s="26" t="s">
        <v>4</v>
      </c>
      <c r="B9" s="1">
        <v>42616.91</v>
      </c>
      <c r="C9" s="1">
        <v>47704</v>
      </c>
      <c r="D9" s="1">
        <v>46071.19</v>
      </c>
      <c r="E9" s="1">
        <v>48548.46</v>
      </c>
      <c r="F9" s="1">
        <v>6257.22</v>
      </c>
      <c r="G9" s="1">
        <v>-675.85</v>
      </c>
      <c r="H9" s="1">
        <v>37490.15</v>
      </c>
      <c r="I9" s="1">
        <v>46440</v>
      </c>
      <c r="J9" s="1">
        <v>48564</v>
      </c>
      <c r="K9" s="1">
        <v>67015</v>
      </c>
      <c r="L9" s="117">
        <v>58663</v>
      </c>
      <c r="M9" s="117">
        <v>96833</v>
      </c>
      <c r="N9" s="117">
        <v>70555</v>
      </c>
      <c r="O9" s="117">
        <v>63219</v>
      </c>
      <c r="P9" s="117">
        <v>67184</v>
      </c>
      <c r="Q9" s="117">
        <v>73625</v>
      </c>
      <c r="R9" s="1">
        <v>46438</v>
      </c>
      <c r="S9" s="1">
        <v>117614</v>
      </c>
      <c r="T9" s="1">
        <v>111635</v>
      </c>
      <c r="U9" s="1">
        <v>112186</v>
      </c>
    </row>
    <row r="10" spans="1:21" x14ac:dyDescent="0.2">
      <c r="A10" s="26" t="s">
        <v>5</v>
      </c>
      <c r="B10" s="1">
        <v>61082.49</v>
      </c>
      <c r="C10" s="1">
        <v>64135</v>
      </c>
      <c r="D10" s="1">
        <v>65634.12</v>
      </c>
      <c r="E10" s="1">
        <v>74470</v>
      </c>
      <c r="F10" s="1">
        <v>5643.53</v>
      </c>
      <c r="G10" s="1">
        <v>303</v>
      </c>
      <c r="H10" s="1">
        <v>64879</v>
      </c>
      <c r="I10" s="1">
        <v>65926</v>
      </c>
      <c r="J10" s="1">
        <v>70066</v>
      </c>
      <c r="K10" s="1">
        <v>78120</v>
      </c>
      <c r="L10" s="117">
        <v>85133</v>
      </c>
      <c r="M10" s="117">
        <v>104999</v>
      </c>
      <c r="N10" s="117">
        <v>99065</v>
      </c>
      <c r="O10" s="117">
        <v>94003</v>
      </c>
      <c r="P10" s="117">
        <v>97541</v>
      </c>
      <c r="Q10" s="117">
        <v>112421</v>
      </c>
      <c r="R10" s="1">
        <v>66848</v>
      </c>
      <c r="S10" s="1">
        <v>183686</v>
      </c>
      <c r="T10" s="1">
        <v>166470</v>
      </c>
      <c r="U10" s="1">
        <v>166178</v>
      </c>
    </row>
    <row r="11" spans="1:21" x14ac:dyDescent="0.2">
      <c r="A11" s="26" t="s">
        <v>6</v>
      </c>
      <c r="B11" s="1">
        <v>75579</v>
      </c>
      <c r="C11" s="1">
        <v>80932.98</v>
      </c>
      <c r="D11" s="1">
        <v>72493.61</v>
      </c>
      <c r="E11" s="1">
        <v>87251.14</v>
      </c>
      <c r="F11" s="1">
        <v>7751.22</v>
      </c>
      <c r="G11" s="1">
        <v>534</v>
      </c>
      <c r="H11" s="1">
        <v>73046</v>
      </c>
      <c r="I11" s="1">
        <v>95223</v>
      </c>
      <c r="J11" s="1">
        <v>101899</v>
      </c>
      <c r="K11" s="1">
        <v>112465</v>
      </c>
      <c r="L11" s="117">
        <v>115135</v>
      </c>
      <c r="M11" s="117">
        <v>125312</v>
      </c>
      <c r="N11" s="117">
        <v>128967</v>
      </c>
      <c r="O11" s="117">
        <v>137039</v>
      </c>
      <c r="P11" s="117">
        <v>147569</v>
      </c>
      <c r="Q11" s="117">
        <v>172532</v>
      </c>
      <c r="R11" s="1">
        <v>150492</v>
      </c>
      <c r="S11" s="1">
        <v>216246</v>
      </c>
      <c r="T11" s="1">
        <v>249009</v>
      </c>
      <c r="U11" s="1">
        <v>255481</v>
      </c>
    </row>
    <row r="12" spans="1:21" x14ac:dyDescent="0.2">
      <c r="A12" s="26" t="s">
        <v>7</v>
      </c>
      <c r="B12" s="1">
        <v>139733.76000000001</v>
      </c>
      <c r="C12" s="1">
        <v>138895.53</v>
      </c>
      <c r="D12" s="1">
        <v>143950.79999999999</v>
      </c>
      <c r="E12" s="1">
        <v>152600</v>
      </c>
      <c r="F12" s="1">
        <v>10066.69</v>
      </c>
      <c r="G12" s="1">
        <v>118</v>
      </c>
      <c r="H12" s="1">
        <v>142892</v>
      </c>
      <c r="I12" s="1">
        <v>155488</v>
      </c>
      <c r="J12" s="1">
        <v>170885</v>
      </c>
      <c r="K12" s="1">
        <v>187988</v>
      </c>
      <c r="L12" s="117">
        <v>186304</v>
      </c>
      <c r="M12" s="117">
        <v>206623</v>
      </c>
      <c r="N12" s="117">
        <v>212497</v>
      </c>
      <c r="O12" s="117">
        <v>189784</v>
      </c>
      <c r="P12" s="117">
        <v>204320</v>
      </c>
      <c r="Q12" s="117">
        <v>224791</v>
      </c>
      <c r="R12" s="1">
        <v>248684</v>
      </c>
      <c r="S12" s="1">
        <v>281207</v>
      </c>
      <c r="T12" s="1">
        <v>278299</v>
      </c>
      <c r="U12" s="1">
        <v>291574</v>
      </c>
    </row>
    <row r="13" spans="1:21" x14ac:dyDescent="0.2">
      <c r="A13" s="26" t="s">
        <v>8</v>
      </c>
      <c r="B13" s="1">
        <v>130590</v>
      </c>
      <c r="C13" s="1">
        <v>135724</v>
      </c>
      <c r="D13" s="1">
        <v>131524.51</v>
      </c>
      <c r="E13" s="1">
        <v>144928.44</v>
      </c>
      <c r="F13" s="1">
        <v>9415.48</v>
      </c>
      <c r="G13" s="1">
        <v>1198.81</v>
      </c>
      <c r="H13" s="1">
        <v>136628</v>
      </c>
      <c r="I13" s="1">
        <v>155027</v>
      </c>
      <c r="J13" s="1">
        <v>149192</v>
      </c>
      <c r="K13" s="1">
        <v>178026</v>
      </c>
      <c r="L13" s="117">
        <v>200529</v>
      </c>
      <c r="M13" s="117">
        <v>192459</v>
      </c>
      <c r="N13" s="117">
        <v>188319</v>
      </c>
      <c r="O13" s="117">
        <v>184659</v>
      </c>
      <c r="P13" s="117">
        <v>207190</v>
      </c>
      <c r="Q13" s="117">
        <v>227417</v>
      </c>
      <c r="R13" s="2">
        <v>239940</v>
      </c>
      <c r="S13" s="1">
        <v>257766</v>
      </c>
      <c r="T13" s="1">
        <v>287776</v>
      </c>
      <c r="U13" s="1">
        <v>286409</v>
      </c>
    </row>
    <row r="14" spans="1:21" x14ac:dyDescent="0.2">
      <c r="A14" s="26" t="s">
        <v>9</v>
      </c>
      <c r="B14" s="1">
        <v>121347.35</v>
      </c>
      <c r="C14" s="1">
        <v>126917</v>
      </c>
      <c r="D14" s="1">
        <v>125160</v>
      </c>
      <c r="E14" s="1">
        <v>128321</v>
      </c>
      <c r="F14" s="1">
        <f>21777.21+129.17</f>
        <v>21906.379999999997</v>
      </c>
      <c r="G14" s="1">
        <v>1433.27</v>
      </c>
      <c r="H14" s="1">
        <v>120258</v>
      </c>
      <c r="I14" s="1">
        <v>134899</v>
      </c>
      <c r="J14" s="1">
        <v>141119</v>
      </c>
      <c r="K14" s="1">
        <v>146942</v>
      </c>
      <c r="L14" s="117">
        <v>163459</v>
      </c>
      <c r="M14" s="117">
        <v>184393</v>
      </c>
      <c r="N14" s="117">
        <v>197455</v>
      </c>
      <c r="O14" s="117">
        <v>209153</v>
      </c>
      <c r="P14" s="117">
        <v>215258</v>
      </c>
      <c r="Q14" s="117">
        <v>219276</v>
      </c>
      <c r="R14" s="1">
        <v>229900</v>
      </c>
      <c r="S14" s="1">
        <v>259615</v>
      </c>
      <c r="T14" s="1">
        <v>269617</v>
      </c>
      <c r="U14" s="1">
        <v>286996</v>
      </c>
    </row>
    <row r="15" spans="1:21" x14ac:dyDescent="0.2">
      <c r="A15" s="26" t="s">
        <v>10</v>
      </c>
      <c r="B15" s="1">
        <v>85007.35</v>
      </c>
      <c r="C15" s="1">
        <v>85171</v>
      </c>
      <c r="D15" s="1">
        <v>85418</v>
      </c>
      <c r="E15" s="1">
        <v>88574.41</v>
      </c>
      <c r="F15" s="1"/>
      <c r="G15" s="1">
        <v>258.43</v>
      </c>
      <c r="H15" s="1">
        <v>75499</v>
      </c>
      <c r="I15" s="1">
        <v>89989</v>
      </c>
      <c r="J15" s="1">
        <v>111387</v>
      </c>
      <c r="K15" s="1">
        <v>117601</v>
      </c>
      <c r="L15" s="117">
        <v>114103</v>
      </c>
      <c r="M15" s="117">
        <v>143723</v>
      </c>
      <c r="N15" s="117">
        <v>139620</v>
      </c>
      <c r="O15" s="117">
        <v>123197</v>
      </c>
      <c r="P15" s="117">
        <v>167682</v>
      </c>
      <c r="Q15" s="117">
        <v>149503</v>
      </c>
      <c r="R15" s="1">
        <v>161705</v>
      </c>
      <c r="S15" s="1">
        <v>188585</v>
      </c>
      <c r="T15" s="1">
        <v>210261</v>
      </c>
      <c r="U15" s="1">
        <v>200584</v>
      </c>
    </row>
    <row r="16" spans="1:21" x14ac:dyDescent="0.2">
      <c r="A16" s="26" t="s">
        <v>11</v>
      </c>
      <c r="B16" s="39">
        <v>53382.35</v>
      </c>
      <c r="C16" s="39">
        <v>54711</v>
      </c>
      <c r="D16" s="39">
        <v>51526</v>
      </c>
      <c r="E16" s="39">
        <v>55291.13</v>
      </c>
      <c r="F16" s="39">
        <v>80</v>
      </c>
      <c r="G16" s="39">
        <v>646</v>
      </c>
      <c r="H16" s="39">
        <v>51890</v>
      </c>
      <c r="I16" s="39">
        <v>53379</v>
      </c>
      <c r="J16" s="39">
        <v>60427</v>
      </c>
      <c r="K16" s="39">
        <v>116314</v>
      </c>
      <c r="L16" s="39">
        <v>69934</v>
      </c>
      <c r="M16" s="39">
        <v>69869</v>
      </c>
      <c r="N16" s="39">
        <v>72081</v>
      </c>
      <c r="O16" s="39">
        <v>72614</v>
      </c>
      <c r="P16" s="39">
        <v>87934</v>
      </c>
      <c r="Q16" s="39">
        <v>82005</v>
      </c>
      <c r="R16" s="1">
        <v>97555</v>
      </c>
      <c r="S16" s="1">
        <v>115976</v>
      </c>
      <c r="T16" s="1">
        <v>142764</v>
      </c>
      <c r="U16" s="1">
        <v>118584</v>
      </c>
    </row>
    <row r="17" spans="1:21" x14ac:dyDescent="0.2">
      <c r="A17" s="25"/>
      <c r="B17" s="44">
        <f t="shared" ref="B17:J17" si="0">SUM(B5:B16)</f>
        <v>982549.94</v>
      </c>
      <c r="C17" s="44">
        <f t="shared" si="0"/>
        <v>1033909.08</v>
      </c>
      <c r="D17" s="44">
        <f t="shared" si="0"/>
        <v>1040114.9199999999</v>
      </c>
      <c r="E17" s="44">
        <f t="shared" si="0"/>
        <v>1112906.3699999999</v>
      </c>
      <c r="F17" s="44">
        <f t="shared" si="0"/>
        <v>416382.06</v>
      </c>
      <c r="G17" s="44">
        <f t="shared" si="0"/>
        <v>-3001.3800000000019</v>
      </c>
      <c r="H17" s="44">
        <f t="shared" si="0"/>
        <v>704265.09</v>
      </c>
      <c r="I17" s="44">
        <f t="shared" si="0"/>
        <v>1110661</v>
      </c>
      <c r="J17" s="44">
        <f t="shared" si="0"/>
        <v>1205284</v>
      </c>
      <c r="K17" s="44">
        <f t="shared" ref="K17:P17" si="1">SUM(K5:K16)</f>
        <v>1354516</v>
      </c>
      <c r="L17" s="96">
        <f t="shared" si="1"/>
        <v>1366330</v>
      </c>
      <c r="M17" s="96">
        <f t="shared" si="1"/>
        <v>1508485</v>
      </c>
      <c r="N17" s="96">
        <f t="shared" si="1"/>
        <v>1505916</v>
      </c>
      <c r="O17" s="96">
        <f t="shared" si="1"/>
        <v>1470852</v>
      </c>
      <c r="P17" s="96">
        <f t="shared" si="1"/>
        <v>1647649</v>
      </c>
      <c r="Q17" s="96">
        <f t="shared" ref="Q17" si="2">SUM(Q5:Q16)</f>
        <v>1764849</v>
      </c>
      <c r="R17" s="126">
        <f t="shared" ref="R17:S17" si="3">SUM(R5:R16)</f>
        <v>1709021</v>
      </c>
      <c r="S17" s="126">
        <f t="shared" si="3"/>
        <v>2177722</v>
      </c>
      <c r="T17" s="126">
        <f t="shared" ref="T17:U17" si="4">SUM(T5:T16)</f>
        <v>2351868</v>
      </c>
      <c r="U17" s="126">
        <f t="shared" si="4"/>
        <v>2409597</v>
      </c>
    </row>
    <row r="18" spans="1:21" x14ac:dyDescent="0.2">
      <c r="A18" s="25"/>
      <c r="L18" s="94"/>
    </row>
    <row r="19" spans="1:21" x14ac:dyDescent="0.2">
      <c r="A19" s="25"/>
      <c r="F19" s="97" t="s">
        <v>110</v>
      </c>
      <c r="L19" s="94"/>
    </row>
    <row r="20" spans="1:21" x14ac:dyDescent="0.2">
      <c r="F20" s="97" t="s">
        <v>112</v>
      </c>
      <c r="L20" s="94"/>
    </row>
    <row r="21" spans="1:21" x14ac:dyDescent="0.2">
      <c r="A21" s="24" t="s">
        <v>37</v>
      </c>
      <c r="B21" s="147">
        <v>0.01</v>
      </c>
      <c r="C21" s="94" t="s">
        <v>184</v>
      </c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M23" s="94"/>
      <c r="N23" s="94"/>
      <c r="O23" s="94"/>
      <c r="P23" s="94"/>
      <c r="Q23" s="94"/>
      <c r="R23" s="94"/>
      <c r="S23" s="94"/>
      <c r="T23" s="94"/>
      <c r="U23" s="94"/>
    </row>
    <row r="24" spans="1:21" x14ac:dyDescent="0.2">
      <c r="A24" s="26" t="s">
        <v>0</v>
      </c>
      <c r="B24" s="2">
        <v>1399</v>
      </c>
      <c r="C24" s="2">
        <v>1264</v>
      </c>
      <c r="D24" s="2">
        <v>5220.8</v>
      </c>
      <c r="E24" s="2">
        <v>13508.99</v>
      </c>
      <c r="F24" s="2">
        <v>4380</v>
      </c>
      <c r="G24" s="2">
        <v>0</v>
      </c>
      <c r="H24" s="2">
        <v>31</v>
      </c>
      <c r="I24" s="2">
        <v>5335</v>
      </c>
      <c r="J24" s="2">
        <v>3991</v>
      </c>
      <c r="K24" s="2">
        <v>11416</v>
      </c>
      <c r="L24" s="102">
        <v>4828</v>
      </c>
      <c r="M24" s="102">
        <v>4060</v>
      </c>
      <c r="N24" s="102">
        <v>2951</v>
      </c>
      <c r="O24" s="102">
        <v>4738</v>
      </c>
      <c r="P24" s="102">
        <v>6697</v>
      </c>
      <c r="Q24" s="102">
        <v>7707</v>
      </c>
      <c r="R24" s="1">
        <v>6904</v>
      </c>
      <c r="S24" s="1">
        <v>5230</v>
      </c>
      <c r="T24" s="1">
        <v>6049</v>
      </c>
      <c r="U24" s="1">
        <v>10767</v>
      </c>
    </row>
    <row r="25" spans="1:21" x14ac:dyDescent="0.2">
      <c r="A25" s="26" t="s">
        <v>1</v>
      </c>
      <c r="B25" s="2">
        <v>1341</v>
      </c>
      <c r="C25" s="2">
        <v>1563.12</v>
      </c>
      <c r="D25" s="2">
        <v>3289</v>
      </c>
      <c r="E25" s="2">
        <v>2388</v>
      </c>
      <c r="F25" s="2">
        <v>2599</v>
      </c>
      <c r="G25" s="2">
        <v>3584.55</v>
      </c>
      <c r="H25" s="2">
        <v>0</v>
      </c>
      <c r="I25" s="2">
        <v>1661</v>
      </c>
      <c r="J25" s="2">
        <v>3118</v>
      </c>
      <c r="K25" s="2">
        <v>5076</v>
      </c>
      <c r="L25" s="102">
        <v>16782</v>
      </c>
      <c r="M25" s="102">
        <v>3905</v>
      </c>
      <c r="N25" s="102">
        <v>6706</v>
      </c>
      <c r="O25" s="102">
        <v>4915</v>
      </c>
      <c r="P25" s="102">
        <v>3466</v>
      </c>
      <c r="Q25" s="102">
        <v>2075</v>
      </c>
      <c r="R25" s="1">
        <v>8357</v>
      </c>
      <c r="S25" s="1">
        <v>3342</v>
      </c>
      <c r="T25" s="1">
        <v>6069</v>
      </c>
      <c r="U25" s="1">
        <v>5905</v>
      </c>
    </row>
    <row r="26" spans="1:21" x14ac:dyDescent="0.2">
      <c r="A26" s="26" t="s">
        <v>2</v>
      </c>
      <c r="B26" s="2">
        <v>4563.3999999999996</v>
      </c>
      <c r="C26" s="2">
        <v>1095</v>
      </c>
      <c r="D26" s="2">
        <v>4169</v>
      </c>
      <c r="E26" s="2">
        <v>2531</v>
      </c>
      <c r="F26" s="2">
        <v>2802</v>
      </c>
      <c r="G26" s="2">
        <v>137.24</v>
      </c>
      <c r="H26" s="2">
        <v>0</v>
      </c>
      <c r="I26" s="2">
        <v>1315</v>
      </c>
      <c r="J26" s="2">
        <v>2499</v>
      </c>
      <c r="K26" s="2">
        <v>5256</v>
      </c>
      <c r="L26" s="102">
        <v>2650</v>
      </c>
      <c r="M26" s="106">
        <v>2900</v>
      </c>
      <c r="N26" s="106">
        <v>2915</v>
      </c>
      <c r="O26" s="106">
        <v>1939</v>
      </c>
      <c r="P26" s="106">
        <v>2867</v>
      </c>
      <c r="Q26" s="106">
        <v>1815</v>
      </c>
      <c r="R26" s="1">
        <v>3928</v>
      </c>
      <c r="S26" s="1">
        <v>2269</v>
      </c>
      <c r="T26" s="1">
        <v>1761</v>
      </c>
      <c r="U26" s="1">
        <v>3390</v>
      </c>
    </row>
    <row r="27" spans="1:21" x14ac:dyDescent="0.2">
      <c r="A27" s="26" t="s">
        <v>3</v>
      </c>
      <c r="B27" s="2">
        <v>4295</v>
      </c>
      <c r="C27" s="2">
        <v>1145</v>
      </c>
      <c r="D27" s="2">
        <v>3544</v>
      </c>
      <c r="E27" s="2">
        <v>7372.57</v>
      </c>
      <c r="F27" s="2">
        <v>3749.05</v>
      </c>
      <c r="G27" s="2">
        <v>0</v>
      </c>
      <c r="H27" s="2">
        <v>47.55</v>
      </c>
      <c r="I27" s="2">
        <v>717</v>
      </c>
      <c r="J27" s="2">
        <v>3988</v>
      </c>
      <c r="K27" s="2">
        <v>3955</v>
      </c>
      <c r="L27" s="102">
        <v>6516</v>
      </c>
      <c r="M27" s="106">
        <v>3121</v>
      </c>
      <c r="N27" s="106">
        <v>7503</v>
      </c>
      <c r="O27" s="106">
        <v>2392</v>
      </c>
      <c r="P27" s="106">
        <v>6267</v>
      </c>
      <c r="Q27" s="106">
        <v>3034</v>
      </c>
      <c r="R27" s="1">
        <v>5056</v>
      </c>
      <c r="S27" s="1">
        <v>3292</v>
      </c>
      <c r="T27" s="1">
        <v>5081</v>
      </c>
      <c r="U27" s="1">
        <v>3857</v>
      </c>
    </row>
    <row r="28" spans="1:21" x14ac:dyDescent="0.2">
      <c r="A28" s="26" t="s">
        <v>4</v>
      </c>
      <c r="B28" s="2">
        <v>1319</v>
      </c>
      <c r="C28" s="2">
        <v>7543.42</v>
      </c>
      <c r="D28" s="2">
        <v>3375</v>
      </c>
      <c r="E28" s="2">
        <v>3233</v>
      </c>
      <c r="F28" s="2">
        <v>7747.4</v>
      </c>
      <c r="G28" s="2">
        <v>0</v>
      </c>
      <c r="H28" s="2">
        <v>2586</v>
      </c>
      <c r="I28" s="2">
        <v>1575</v>
      </c>
      <c r="J28" s="2">
        <v>2014</v>
      </c>
      <c r="K28" s="2">
        <v>5154</v>
      </c>
      <c r="L28" s="102">
        <v>4694</v>
      </c>
      <c r="M28" s="106">
        <v>3598</v>
      </c>
      <c r="N28" s="106">
        <v>3065</v>
      </c>
      <c r="O28" s="106">
        <v>3785</v>
      </c>
      <c r="P28" s="106">
        <v>3290</v>
      </c>
      <c r="Q28" s="106">
        <v>2073</v>
      </c>
      <c r="R28" s="1">
        <v>1950</v>
      </c>
      <c r="S28" s="1">
        <v>3652</v>
      </c>
      <c r="T28" s="1">
        <v>3253</v>
      </c>
      <c r="U28" s="1">
        <v>1606</v>
      </c>
    </row>
    <row r="29" spans="1:21" x14ac:dyDescent="0.2">
      <c r="A29" s="26" t="s">
        <v>5</v>
      </c>
      <c r="B29" s="2">
        <v>1322</v>
      </c>
      <c r="C29" s="2">
        <v>1187.56</v>
      </c>
      <c r="D29" s="2">
        <v>1692</v>
      </c>
      <c r="E29" s="2">
        <v>7077.86</v>
      </c>
      <c r="F29" s="2">
        <v>1531</v>
      </c>
      <c r="G29" s="2">
        <v>0</v>
      </c>
      <c r="H29" s="2">
        <v>3880</v>
      </c>
      <c r="I29" s="2">
        <v>1985</v>
      </c>
      <c r="J29" s="2">
        <v>3322</v>
      </c>
      <c r="K29" s="2">
        <v>6094</v>
      </c>
      <c r="L29" s="102">
        <v>5647</v>
      </c>
      <c r="M29" s="106">
        <v>19024</v>
      </c>
      <c r="N29" s="106">
        <v>5022</v>
      </c>
      <c r="O29" s="106">
        <v>3869</v>
      </c>
      <c r="P29" s="106">
        <v>4843</v>
      </c>
      <c r="Q29" s="106">
        <v>3119</v>
      </c>
      <c r="R29" s="1">
        <v>8086</v>
      </c>
      <c r="S29" s="1">
        <v>4706</v>
      </c>
      <c r="T29" s="1">
        <v>4750</v>
      </c>
      <c r="U29" s="1">
        <v>3375</v>
      </c>
    </row>
    <row r="30" spans="1:21" x14ac:dyDescent="0.2">
      <c r="A30" s="26" t="s">
        <v>6</v>
      </c>
      <c r="B30" s="2">
        <v>1779</v>
      </c>
      <c r="C30" s="2">
        <v>3102</v>
      </c>
      <c r="D30" s="2">
        <v>2297</v>
      </c>
      <c r="E30" s="2">
        <v>5862</v>
      </c>
      <c r="F30" s="2">
        <v>987</v>
      </c>
      <c r="G30" s="2">
        <v>0</v>
      </c>
      <c r="H30" s="2">
        <v>2211</v>
      </c>
      <c r="I30" s="2">
        <v>3214</v>
      </c>
      <c r="J30" s="2">
        <v>4223</v>
      </c>
      <c r="K30" s="2">
        <v>12855</v>
      </c>
      <c r="L30" s="102">
        <v>5900</v>
      </c>
      <c r="M30" s="106">
        <v>5383</v>
      </c>
      <c r="N30" s="106">
        <v>6747</v>
      </c>
      <c r="O30" s="106">
        <v>6803</v>
      </c>
      <c r="P30" s="106">
        <v>7665</v>
      </c>
      <c r="Q30" s="106">
        <v>5279</v>
      </c>
      <c r="R30" s="1">
        <v>8497</v>
      </c>
      <c r="S30" s="1">
        <v>9818</v>
      </c>
      <c r="T30" s="1">
        <v>7964</v>
      </c>
      <c r="U30" s="1">
        <v>8764</v>
      </c>
    </row>
    <row r="31" spans="1:21" x14ac:dyDescent="0.2">
      <c r="A31" s="26" t="s">
        <v>7</v>
      </c>
      <c r="B31" s="2">
        <v>521</v>
      </c>
      <c r="C31" s="2">
        <v>4841</v>
      </c>
      <c r="D31" s="2">
        <v>4498</v>
      </c>
      <c r="E31" s="2">
        <v>5679</v>
      </c>
      <c r="F31" s="2">
        <v>1031</v>
      </c>
      <c r="G31" s="2">
        <v>0</v>
      </c>
      <c r="H31" s="2">
        <v>5742</v>
      </c>
      <c r="I31" s="2">
        <v>4590</v>
      </c>
      <c r="J31" s="2">
        <v>5923</v>
      </c>
      <c r="K31" s="2">
        <v>6467</v>
      </c>
      <c r="L31" s="102">
        <v>5016</v>
      </c>
      <c r="M31" s="106">
        <v>7951</v>
      </c>
      <c r="N31" s="106">
        <v>6440</v>
      </c>
      <c r="O31" s="106">
        <v>7114</v>
      </c>
      <c r="P31" s="106">
        <v>8455</v>
      </c>
      <c r="Q31" s="106">
        <v>7086</v>
      </c>
      <c r="R31" s="1">
        <v>10856</v>
      </c>
      <c r="S31" s="1">
        <v>19315</v>
      </c>
      <c r="T31" s="1">
        <v>4943</v>
      </c>
      <c r="U31" s="1">
        <v>6817</v>
      </c>
    </row>
    <row r="32" spans="1:21" x14ac:dyDescent="0.2">
      <c r="A32" s="26" t="s">
        <v>8</v>
      </c>
      <c r="B32" s="2">
        <v>729</v>
      </c>
      <c r="C32" s="2">
        <v>6590.48</v>
      </c>
      <c r="D32" s="2">
        <v>2110</v>
      </c>
      <c r="E32" s="2">
        <v>6219.42</v>
      </c>
      <c r="F32" s="2">
        <v>-1010</v>
      </c>
      <c r="G32" s="2">
        <v>193</v>
      </c>
      <c r="H32" s="2">
        <v>6727</v>
      </c>
      <c r="I32" s="2">
        <v>2704</v>
      </c>
      <c r="J32" s="2">
        <v>5019</v>
      </c>
      <c r="K32" s="2">
        <v>7297</v>
      </c>
      <c r="L32" s="102">
        <v>8085</v>
      </c>
      <c r="M32" s="106">
        <v>6384</v>
      </c>
      <c r="N32" s="106">
        <v>6478</v>
      </c>
      <c r="O32" s="106">
        <v>6222</v>
      </c>
      <c r="P32" s="106">
        <v>4791</v>
      </c>
      <c r="Q32" s="106">
        <v>5342</v>
      </c>
      <c r="R32" s="2">
        <v>7549</v>
      </c>
      <c r="S32" s="1">
        <v>10830</v>
      </c>
      <c r="T32" s="1">
        <v>3171</v>
      </c>
      <c r="U32" s="1">
        <v>4470</v>
      </c>
    </row>
    <row r="33" spans="1:21" x14ac:dyDescent="0.2">
      <c r="A33" s="26" t="s">
        <v>9</v>
      </c>
      <c r="B33" s="2">
        <v>457</v>
      </c>
      <c r="C33" s="2">
        <v>5034.99</v>
      </c>
      <c r="D33" s="2">
        <v>4660</v>
      </c>
      <c r="E33" s="2">
        <v>4590</v>
      </c>
      <c r="F33" s="2">
        <v>104</v>
      </c>
      <c r="G33" s="2">
        <v>0</v>
      </c>
      <c r="H33" s="2">
        <v>5161</v>
      </c>
      <c r="I33" s="2">
        <v>4996</v>
      </c>
      <c r="J33" s="2">
        <v>6935</v>
      </c>
      <c r="K33" s="2">
        <v>5978</v>
      </c>
      <c r="L33" s="102">
        <v>7929</v>
      </c>
      <c r="M33" s="106">
        <v>5075</v>
      </c>
      <c r="N33" s="106">
        <v>3624</v>
      </c>
      <c r="O33" s="106">
        <v>6369</v>
      </c>
      <c r="P33" s="106">
        <v>6415</v>
      </c>
      <c r="Q33" s="106">
        <v>4796</v>
      </c>
      <c r="R33" s="1">
        <v>7995</v>
      </c>
      <c r="S33" s="1">
        <v>10724</v>
      </c>
      <c r="T33" s="1">
        <v>7623</v>
      </c>
      <c r="U33" s="1">
        <v>10788</v>
      </c>
    </row>
    <row r="34" spans="1:21" x14ac:dyDescent="0.2">
      <c r="A34" s="26" t="s">
        <v>10</v>
      </c>
      <c r="B34" s="2">
        <v>1020</v>
      </c>
      <c r="C34" s="2">
        <v>5145</v>
      </c>
      <c r="D34" s="2">
        <v>2224.46</v>
      </c>
      <c r="E34" s="2">
        <v>6185.7</v>
      </c>
      <c r="F34" s="2">
        <v>3025.88</v>
      </c>
      <c r="G34" s="2">
        <v>0</v>
      </c>
      <c r="H34" s="2">
        <v>11469</v>
      </c>
      <c r="I34" s="2">
        <v>4603</v>
      </c>
      <c r="J34" s="2">
        <v>9508</v>
      </c>
      <c r="K34" s="2">
        <v>6441</v>
      </c>
      <c r="L34" s="102">
        <v>7082</v>
      </c>
      <c r="M34" s="106">
        <v>4088</v>
      </c>
      <c r="N34" s="106">
        <v>4370</v>
      </c>
      <c r="O34" s="106">
        <v>4745</v>
      </c>
      <c r="P34" s="106">
        <v>5673</v>
      </c>
      <c r="Q34" s="106">
        <v>6429</v>
      </c>
      <c r="R34" s="1">
        <v>5010</v>
      </c>
      <c r="S34" s="1">
        <v>10514</v>
      </c>
      <c r="T34" s="1">
        <v>5152</v>
      </c>
      <c r="U34" s="1">
        <v>5863</v>
      </c>
    </row>
    <row r="35" spans="1:21" x14ac:dyDescent="0.2">
      <c r="A35" s="26" t="s">
        <v>11</v>
      </c>
      <c r="B35" s="40">
        <v>1096</v>
      </c>
      <c r="C35" s="39">
        <v>2129</v>
      </c>
      <c r="D35" s="39">
        <v>2457</v>
      </c>
      <c r="E35" s="39">
        <v>4200.6400000000003</v>
      </c>
      <c r="F35" s="39">
        <v>5</v>
      </c>
      <c r="G35" s="40">
        <v>83</v>
      </c>
      <c r="H35" s="40">
        <v>25822</v>
      </c>
      <c r="I35" s="40">
        <v>1935</v>
      </c>
      <c r="J35" s="40">
        <v>2739</v>
      </c>
      <c r="K35" s="40">
        <v>14050</v>
      </c>
      <c r="L35" s="95">
        <v>2597</v>
      </c>
      <c r="M35" s="40">
        <v>1978</v>
      </c>
      <c r="N35" s="40">
        <v>3583</v>
      </c>
      <c r="O35" s="40">
        <v>3622</v>
      </c>
      <c r="P35" s="40">
        <v>5595</v>
      </c>
      <c r="Q35" s="40">
        <v>4622</v>
      </c>
      <c r="R35" s="1">
        <v>7070</v>
      </c>
      <c r="S35" s="1">
        <v>8355</v>
      </c>
      <c r="T35" s="1">
        <v>7452</v>
      </c>
      <c r="U35" s="1">
        <v>2702</v>
      </c>
    </row>
    <row r="36" spans="1:21" x14ac:dyDescent="0.2">
      <c r="A36" s="25"/>
      <c r="B36" s="44">
        <f t="shared" ref="B36:H36" si="5">SUM(B24:B35)</f>
        <v>19841.400000000001</v>
      </c>
      <c r="C36" s="44">
        <f t="shared" si="5"/>
        <v>40640.57</v>
      </c>
      <c r="D36" s="44">
        <f t="shared" si="5"/>
        <v>39536.26</v>
      </c>
      <c r="E36" s="44">
        <f t="shared" si="5"/>
        <v>68848.179999999993</v>
      </c>
      <c r="F36" s="44">
        <f t="shared" si="5"/>
        <v>26951.329999999998</v>
      </c>
      <c r="G36" s="44">
        <f t="shared" si="5"/>
        <v>3997.79</v>
      </c>
      <c r="H36" s="44">
        <f t="shared" si="5"/>
        <v>63676.55</v>
      </c>
      <c r="I36" s="44">
        <f t="shared" ref="I36:N36" si="6">SUM(I24:I35)</f>
        <v>34630</v>
      </c>
      <c r="J36" s="44">
        <f t="shared" si="6"/>
        <v>53279</v>
      </c>
      <c r="K36" s="44">
        <f t="shared" si="6"/>
        <v>90039</v>
      </c>
      <c r="L36" s="96">
        <f t="shared" si="6"/>
        <v>77726</v>
      </c>
      <c r="M36" s="96">
        <f t="shared" si="6"/>
        <v>67467</v>
      </c>
      <c r="N36" s="96">
        <f t="shared" si="6"/>
        <v>59404</v>
      </c>
      <c r="O36" s="96">
        <f t="shared" ref="O36:P36" si="7">SUM(O24:O35)</f>
        <v>56513</v>
      </c>
      <c r="P36" s="96">
        <f t="shared" si="7"/>
        <v>66024</v>
      </c>
      <c r="Q36" s="96">
        <f t="shared" ref="Q36" si="8">SUM(Q24:Q35)</f>
        <v>53377</v>
      </c>
      <c r="R36" s="126">
        <f t="shared" ref="R36:S36" si="9">SUM(R24:R35)</f>
        <v>81258</v>
      </c>
      <c r="S36" s="126">
        <f t="shared" si="9"/>
        <v>92047</v>
      </c>
      <c r="T36" s="126">
        <f t="shared" ref="T36:U36" si="10">SUM(T24:T35)</f>
        <v>63268</v>
      </c>
      <c r="U36" s="126">
        <f t="shared" si="10"/>
        <v>68304</v>
      </c>
    </row>
    <row r="37" spans="1:21" x14ac:dyDescent="0.2">
      <c r="L37" s="94"/>
    </row>
    <row r="38" spans="1:21" x14ac:dyDescent="0.2">
      <c r="L38" s="94"/>
    </row>
    <row r="39" spans="1:21" x14ac:dyDescent="0.2">
      <c r="A39" s="29" t="s">
        <v>248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  <c r="O41" s="151"/>
      <c r="P41" s="151"/>
      <c r="Q41" s="151"/>
      <c r="R41" s="151"/>
      <c r="S41" s="151"/>
      <c r="T41" s="151"/>
      <c r="U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113">
        <v>0</v>
      </c>
      <c r="S42" s="2">
        <v>0</v>
      </c>
      <c r="T42" s="2">
        <v>0</v>
      </c>
      <c r="U42" s="2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-3741</v>
      </c>
      <c r="H43" s="2">
        <v>-18404</v>
      </c>
      <c r="I43" s="2">
        <v>-345</v>
      </c>
      <c r="J43" s="2">
        <v>0</v>
      </c>
      <c r="K43" s="2">
        <v>0</v>
      </c>
      <c r="L43" s="2">
        <v>-5376</v>
      </c>
      <c r="M43" s="2">
        <v>0</v>
      </c>
      <c r="N43" s="2">
        <v>-45258</v>
      </c>
      <c r="O43" s="2">
        <v>0</v>
      </c>
      <c r="P43" s="2">
        <v>-1439</v>
      </c>
      <c r="Q43" s="2">
        <v>-85</v>
      </c>
      <c r="R43" s="1">
        <v>-3937</v>
      </c>
      <c r="S43" s="2">
        <v>0</v>
      </c>
      <c r="T43" s="2">
        <v>-444</v>
      </c>
      <c r="U43" s="2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-976</v>
      </c>
      <c r="H44" s="2">
        <v>0</v>
      </c>
      <c r="I44" s="2">
        <v>0</v>
      </c>
      <c r="J44" s="2">
        <v>0</v>
      </c>
      <c r="K44" s="2">
        <v>-238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-266</v>
      </c>
      <c r="R44" s="1">
        <v>-254</v>
      </c>
      <c r="S44" s="2">
        <v>0</v>
      </c>
      <c r="T44" s="2">
        <v>0</v>
      </c>
      <c r="U44" s="2">
        <v>0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0</v>
      </c>
      <c r="I45" s="2">
        <v>-53</v>
      </c>
      <c r="J45" s="2">
        <v>-7346</v>
      </c>
      <c r="K45" s="2">
        <v>0</v>
      </c>
      <c r="L45" s="2">
        <v>0</v>
      </c>
      <c r="M45" s="2">
        <v>0</v>
      </c>
      <c r="N45" s="2">
        <v>-1</v>
      </c>
      <c r="O45" s="2">
        <v>-1</v>
      </c>
      <c r="P45" s="2">
        <v>0</v>
      </c>
      <c r="Q45" s="2">
        <v>-28</v>
      </c>
      <c r="R45" s="1">
        <v>-977</v>
      </c>
      <c r="S45" s="2">
        <v>0</v>
      </c>
      <c r="T45" s="2">
        <v>0</v>
      </c>
      <c r="U45" s="2">
        <v>0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-49</v>
      </c>
      <c r="N46" s="2">
        <v>0</v>
      </c>
      <c r="O46" s="2">
        <v>1</v>
      </c>
      <c r="P46" s="2">
        <v>-165</v>
      </c>
      <c r="Q46" s="2">
        <v>0</v>
      </c>
      <c r="R46" s="117">
        <v>-253</v>
      </c>
      <c r="S46" s="2">
        <v>0</v>
      </c>
      <c r="T46" s="1">
        <v>-1586</v>
      </c>
      <c r="U46" s="2">
        <v>-700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-17403</v>
      </c>
      <c r="N47" s="2">
        <v>0</v>
      </c>
      <c r="O47" s="2">
        <v>0</v>
      </c>
      <c r="P47" s="2">
        <v>0</v>
      </c>
      <c r="Q47" s="2">
        <v>0</v>
      </c>
      <c r="R47" s="1">
        <v>-3371</v>
      </c>
      <c r="S47" s="2">
        <v>0</v>
      </c>
      <c r="T47" s="2">
        <v>0</v>
      </c>
      <c r="U47" s="2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-1641</v>
      </c>
      <c r="O48" s="2">
        <v>0</v>
      </c>
      <c r="P48" s="2">
        <v>0</v>
      </c>
      <c r="Q48" s="2">
        <v>0</v>
      </c>
      <c r="R48" s="1">
        <v>-98</v>
      </c>
      <c r="S48" s="2">
        <v>0</v>
      </c>
      <c r="T48" s="2">
        <v>0</v>
      </c>
      <c r="U48" s="2">
        <v>-1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0</v>
      </c>
      <c r="I49" s="2">
        <v>0</v>
      </c>
      <c r="J49" s="2">
        <v>-470</v>
      </c>
      <c r="K49" s="2">
        <v>0</v>
      </c>
      <c r="L49" s="2">
        <v>-62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1">
        <v>-1023</v>
      </c>
      <c r="S49" s="2">
        <v>0</v>
      </c>
      <c r="T49" s="2">
        <v>0</v>
      </c>
      <c r="U49" s="2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0</v>
      </c>
      <c r="J50" s="2">
        <v>0</v>
      </c>
      <c r="K50" s="2">
        <v>-13323</v>
      </c>
      <c r="L50" s="2">
        <v>-5945</v>
      </c>
      <c r="M50" s="2">
        <v>0</v>
      </c>
      <c r="N50" s="2">
        <v>0</v>
      </c>
      <c r="O50" s="2">
        <v>0</v>
      </c>
      <c r="P50" s="2">
        <v>0</v>
      </c>
      <c r="Q50" s="2">
        <v>-1</v>
      </c>
      <c r="R50" s="2">
        <v>0</v>
      </c>
      <c r="S50" s="2">
        <v>0</v>
      </c>
      <c r="T50" s="1">
        <v>-289</v>
      </c>
      <c r="U50" s="2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-5543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-3</v>
      </c>
      <c r="O51" s="2">
        <v>0</v>
      </c>
      <c r="P51" s="2">
        <v>0</v>
      </c>
      <c r="Q51" s="2">
        <v>0</v>
      </c>
      <c r="R51" s="2">
        <v>0</v>
      </c>
      <c r="S51" s="1">
        <v>0</v>
      </c>
      <c r="T51" s="1">
        <v>0</v>
      </c>
      <c r="U51" s="1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-566</v>
      </c>
      <c r="R52" s="2">
        <v>0</v>
      </c>
      <c r="S52" s="2">
        <v>0</v>
      </c>
      <c r="T52" s="2">
        <v>0</v>
      </c>
      <c r="U52" s="2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0</v>
      </c>
      <c r="H53" s="40">
        <v>-3061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-207</v>
      </c>
      <c r="R53" s="40">
        <v>0</v>
      </c>
      <c r="S53" s="40">
        <v>0</v>
      </c>
      <c r="T53" s="40">
        <v>0</v>
      </c>
      <c r="U53" s="40">
        <v>0</v>
      </c>
    </row>
    <row r="54" spans="1:21" x14ac:dyDescent="0.2">
      <c r="A54" s="25"/>
      <c r="B54" s="126"/>
      <c r="C54" s="126"/>
      <c r="D54" s="126"/>
      <c r="E54" s="126"/>
      <c r="F54" s="126"/>
      <c r="G54" s="126">
        <f t="shared" ref="G54:N54" si="11">SUM(G42:G53)</f>
        <v>-10260</v>
      </c>
      <c r="H54" s="126">
        <f t="shared" si="11"/>
        <v>-21465</v>
      </c>
      <c r="I54" s="126">
        <f t="shared" si="11"/>
        <v>-398</v>
      </c>
      <c r="J54" s="126">
        <f t="shared" si="11"/>
        <v>-7816</v>
      </c>
      <c r="K54" s="126">
        <f t="shared" si="11"/>
        <v>-13561</v>
      </c>
      <c r="L54" s="126">
        <f t="shared" si="11"/>
        <v>-11383</v>
      </c>
      <c r="M54" s="126">
        <f t="shared" si="11"/>
        <v>-17452</v>
      </c>
      <c r="N54" s="126">
        <f t="shared" si="11"/>
        <v>-46903</v>
      </c>
      <c r="O54" s="126">
        <f t="shared" ref="O54:P54" si="12">SUM(O42:O53)</f>
        <v>0</v>
      </c>
      <c r="P54" s="126">
        <f t="shared" si="12"/>
        <v>-1604</v>
      </c>
      <c r="Q54" s="126">
        <f t="shared" ref="Q54:S54" si="13">SUM(Q42:Q53)</f>
        <v>-1153</v>
      </c>
      <c r="R54" s="126">
        <f t="shared" ref="R54" si="14">SUM(R42:R53)</f>
        <v>-9913</v>
      </c>
      <c r="S54" s="126">
        <f t="shared" si="13"/>
        <v>0</v>
      </c>
      <c r="T54" s="126">
        <f t="shared" ref="T54" si="15">SUM(T42:T53)</f>
        <v>-2319</v>
      </c>
      <c r="U54" s="184">
        <f>SUM(U42:U53)</f>
        <v>-701</v>
      </c>
    </row>
    <row r="55" spans="1:21" x14ac:dyDescent="0.2">
      <c r="A55" s="25"/>
      <c r="B55" s="31"/>
      <c r="C55" s="31"/>
      <c r="D55" s="31"/>
      <c r="E55" s="31"/>
      <c r="F55" s="31"/>
      <c r="G55" s="88"/>
      <c r="H55" s="88"/>
      <c r="I55" s="88"/>
      <c r="J55" s="88"/>
      <c r="K55" s="88"/>
      <c r="L55" s="88"/>
      <c r="M55" s="88"/>
      <c r="N55" s="88"/>
    </row>
    <row r="56" spans="1:21" x14ac:dyDescent="0.2">
      <c r="A56" s="25"/>
      <c r="B56" s="31"/>
      <c r="C56" s="31"/>
      <c r="D56" s="31"/>
      <c r="E56" s="31"/>
      <c r="F56" s="31"/>
      <c r="G56" s="88"/>
      <c r="H56" s="88"/>
      <c r="I56" s="88"/>
      <c r="J56" s="88"/>
      <c r="K56" s="88"/>
      <c r="L56" s="88"/>
      <c r="M56" s="88"/>
      <c r="N56" s="88"/>
    </row>
    <row r="57" spans="1:21" x14ac:dyDescent="0.2">
      <c r="A57" s="24" t="s">
        <v>103</v>
      </c>
    </row>
    <row r="58" spans="1:21" x14ac:dyDescent="0.2">
      <c r="A58" s="25"/>
      <c r="B58" s="16"/>
      <c r="C58" s="16"/>
      <c r="D58" s="16"/>
      <c r="E58" s="16"/>
      <c r="F58" s="16">
        <v>2008</v>
      </c>
      <c r="G58" s="16">
        <v>2009</v>
      </c>
      <c r="H58" s="16">
        <v>2010</v>
      </c>
    </row>
    <row r="59" spans="1:21" x14ac:dyDescent="0.2">
      <c r="A59" s="25"/>
    </row>
    <row r="60" spans="1:21" x14ac:dyDescent="0.2">
      <c r="A60" s="26" t="s">
        <v>0</v>
      </c>
      <c r="B60" s="12"/>
      <c r="C60" s="12"/>
      <c r="D60" s="12"/>
      <c r="E60" s="12"/>
      <c r="F60" s="12"/>
      <c r="G60" s="12">
        <v>0</v>
      </c>
      <c r="H60" s="12">
        <v>0</v>
      </c>
    </row>
    <row r="61" spans="1:21" x14ac:dyDescent="0.2">
      <c r="A61" s="26" t="s">
        <v>1</v>
      </c>
      <c r="B61" s="12"/>
      <c r="C61" s="12"/>
      <c r="D61" s="12"/>
      <c r="E61" s="12"/>
      <c r="F61" s="12"/>
      <c r="G61" s="12">
        <v>0</v>
      </c>
      <c r="H61" s="12">
        <v>0</v>
      </c>
    </row>
    <row r="62" spans="1:21" x14ac:dyDescent="0.2">
      <c r="A62" s="26" t="s">
        <v>2</v>
      </c>
      <c r="B62" s="12"/>
      <c r="C62" s="12"/>
      <c r="D62" s="12"/>
      <c r="E62" s="12"/>
      <c r="F62" s="12"/>
      <c r="G62" s="12">
        <v>0</v>
      </c>
      <c r="H62" s="12">
        <v>0</v>
      </c>
    </row>
    <row r="63" spans="1:21" x14ac:dyDescent="0.2">
      <c r="A63" s="26" t="s">
        <v>3</v>
      </c>
      <c r="B63" s="12"/>
      <c r="C63" s="12"/>
      <c r="D63" s="12"/>
      <c r="E63" s="12"/>
      <c r="F63" s="12"/>
      <c r="G63" s="12">
        <v>0</v>
      </c>
      <c r="H63" s="12">
        <v>0</v>
      </c>
    </row>
    <row r="64" spans="1:21" x14ac:dyDescent="0.2">
      <c r="A64" s="26" t="s">
        <v>4</v>
      </c>
      <c r="B64" s="12"/>
      <c r="C64" s="12"/>
      <c r="D64" s="12"/>
      <c r="E64" s="98" t="s">
        <v>147</v>
      </c>
      <c r="F64" s="12"/>
      <c r="G64" s="12">
        <v>0</v>
      </c>
      <c r="H64" s="12">
        <v>0</v>
      </c>
    </row>
    <row r="65" spans="1:8" x14ac:dyDescent="0.2">
      <c r="A65" s="26" t="s">
        <v>5</v>
      </c>
      <c r="B65" s="12"/>
      <c r="C65" s="12"/>
      <c r="D65" s="12"/>
      <c r="E65" s="12"/>
      <c r="F65" s="12">
        <v>0</v>
      </c>
      <c r="G65" s="12">
        <v>0</v>
      </c>
      <c r="H65" s="12">
        <v>0</v>
      </c>
    </row>
    <row r="66" spans="1:8" x14ac:dyDescent="0.2">
      <c r="A66" s="26" t="s">
        <v>6</v>
      </c>
      <c r="B66" s="12"/>
      <c r="C66" s="12"/>
      <c r="D66" s="12"/>
      <c r="E66" s="12"/>
      <c r="F66" s="12">
        <v>0</v>
      </c>
      <c r="G66" s="12">
        <v>0</v>
      </c>
    </row>
    <row r="67" spans="1:8" x14ac:dyDescent="0.2">
      <c r="A67" s="26" t="s">
        <v>7</v>
      </c>
      <c r="B67" s="12"/>
      <c r="C67" s="12"/>
      <c r="D67" s="12"/>
      <c r="E67" s="12"/>
      <c r="F67" s="12">
        <v>0</v>
      </c>
      <c r="G67" s="12">
        <v>0</v>
      </c>
    </row>
    <row r="68" spans="1:8" x14ac:dyDescent="0.2">
      <c r="A68" s="26" t="s">
        <v>8</v>
      </c>
      <c r="B68" s="12"/>
      <c r="C68" s="12"/>
      <c r="D68" s="12"/>
      <c r="E68" s="12"/>
      <c r="F68" s="12">
        <v>0</v>
      </c>
      <c r="G68" s="12">
        <v>0</v>
      </c>
    </row>
    <row r="69" spans="1:8" x14ac:dyDescent="0.2">
      <c r="A69" s="26" t="s">
        <v>9</v>
      </c>
      <c r="B69" s="12"/>
      <c r="C69" s="12"/>
      <c r="D69" s="12"/>
      <c r="E69" s="12"/>
      <c r="F69" s="12">
        <v>0</v>
      </c>
      <c r="G69" s="12">
        <v>0</v>
      </c>
    </row>
    <row r="70" spans="1:8" x14ac:dyDescent="0.2">
      <c r="A70" s="26" t="s">
        <v>10</v>
      </c>
      <c r="B70" s="12"/>
      <c r="C70" s="12"/>
      <c r="D70" s="12"/>
      <c r="E70" s="12"/>
      <c r="F70" s="12">
        <v>0</v>
      </c>
      <c r="G70" s="12">
        <v>0</v>
      </c>
    </row>
    <row r="71" spans="1:8" x14ac:dyDescent="0.2">
      <c r="A71" s="26" t="s">
        <v>11</v>
      </c>
      <c r="B71" s="13"/>
      <c r="C71" s="9"/>
      <c r="D71" s="9"/>
      <c r="E71" s="9"/>
      <c r="F71" s="9">
        <v>0</v>
      </c>
      <c r="G71" s="13">
        <v>0</v>
      </c>
      <c r="H71" s="62"/>
    </row>
    <row r="72" spans="1:8" x14ac:dyDescent="0.2">
      <c r="A72" s="25"/>
      <c r="B72" s="14"/>
      <c r="C72" s="14"/>
      <c r="D72" s="14"/>
      <c r="E72" s="14"/>
      <c r="F72" s="14">
        <f>SUM(F60:F71)</f>
        <v>0</v>
      </c>
      <c r="G72" s="14">
        <f>SUM(G60:G71)</f>
        <v>0</v>
      </c>
      <c r="H72" s="14">
        <f>SUM(H60:H71)</f>
        <v>0</v>
      </c>
    </row>
    <row r="75" spans="1:8" x14ac:dyDescent="0.2">
      <c r="A75" s="24" t="s">
        <v>104</v>
      </c>
    </row>
    <row r="76" spans="1:8" x14ac:dyDescent="0.2">
      <c r="A76" s="24"/>
    </row>
    <row r="77" spans="1:8" x14ac:dyDescent="0.2">
      <c r="A77" s="25"/>
      <c r="B77" s="16"/>
      <c r="C77" s="16"/>
      <c r="D77" s="16"/>
      <c r="E77" s="16"/>
      <c r="F77" s="16">
        <v>2008</v>
      </c>
      <c r="G77" s="16">
        <v>2009</v>
      </c>
      <c r="H77" s="16">
        <v>2010</v>
      </c>
    </row>
    <row r="78" spans="1:8" x14ac:dyDescent="0.2">
      <c r="A78" s="25"/>
    </row>
    <row r="79" spans="1:8" x14ac:dyDescent="0.2">
      <c r="A79" s="26" t="s">
        <v>0</v>
      </c>
      <c r="B79" s="12"/>
      <c r="C79" s="12"/>
      <c r="D79" s="12"/>
      <c r="E79" s="12"/>
      <c r="F79" s="12"/>
      <c r="G79" s="12">
        <v>0</v>
      </c>
      <c r="H79" s="12">
        <v>0</v>
      </c>
    </row>
    <row r="80" spans="1:8" x14ac:dyDescent="0.2">
      <c r="A80" s="26" t="s">
        <v>1</v>
      </c>
      <c r="B80" s="12"/>
      <c r="C80" s="12"/>
      <c r="D80" s="12"/>
      <c r="E80" s="12"/>
      <c r="F80" s="12"/>
      <c r="G80" s="12">
        <v>0</v>
      </c>
      <c r="H80" s="12">
        <v>0</v>
      </c>
    </row>
    <row r="81" spans="1:8" x14ac:dyDescent="0.2">
      <c r="A81" s="26" t="s">
        <v>2</v>
      </c>
      <c r="B81" s="12"/>
      <c r="C81" s="12"/>
      <c r="D81" s="12"/>
      <c r="E81" s="12"/>
      <c r="F81" s="12"/>
      <c r="G81" s="12">
        <v>0</v>
      </c>
      <c r="H81" s="12">
        <v>0</v>
      </c>
    </row>
    <row r="82" spans="1:8" x14ac:dyDescent="0.2">
      <c r="A82" s="26" t="s">
        <v>3</v>
      </c>
      <c r="B82" s="12"/>
      <c r="C82" s="12"/>
      <c r="D82" s="12"/>
      <c r="E82" s="12"/>
      <c r="F82" s="12"/>
      <c r="G82" s="12">
        <v>0</v>
      </c>
      <c r="H82" s="12">
        <v>0</v>
      </c>
    </row>
    <row r="83" spans="1:8" x14ac:dyDescent="0.2">
      <c r="A83" s="26" t="s">
        <v>4</v>
      </c>
      <c r="B83" s="12"/>
      <c r="C83" s="12"/>
      <c r="D83" s="12"/>
      <c r="E83" s="98" t="s">
        <v>147</v>
      </c>
      <c r="F83" s="12"/>
      <c r="G83" s="12">
        <v>0</v>
      </c>
      <c r="H83" s="12">
        <v>0</v>
      </c>
    </row>
    <row r="84" spans="1:8" x14ac:dyDescent="0.2">
      <c r="A84" s="26" t="s">
        <v>5</v>
      </c>
      <c r="B84" s="12"/>
      <c r="C84" s="12"/>
      <c r="D84" s="12"/>
      <c r="E84" s="12"/>
      <c r="F84" s="12">
        <v>0</v>
      </c>
      <c r="G84" s="12">
        <v>0</v>
      </c>
      <c r="H84" s="12">
        <v>0</v>
      </c>
    </row>
    <row r="85" spans="1:8" x14ac:dyDescent="0.2">
      <c r="A85" s="26" t="s">
        <v>6</v>
      </c>
      <c r="B85" s="12"/>
      <c r="C85" s="12"/>
      <c r="D85" s="12"/>
      <c r="E85" s="12"/>
      <c r="F85" s="12">
        <v>0</v>
      </c>
      <c r="G85" s="12">
        <v>0</v>
      </c>
    </row>
    <row r="86" spans="1:8" x14ac:dyDescent="0.2">
      <c r="A86" s="26" t="s">
        <v>7</v>
      </c>
      <c r="B86" s="12"/>
      <c r="C86" s="12"/>
      <c r="D86" s="12"/>
      <c r="E86" s="12"/>
      <c r="F86" s="12">
        <v>0</v>
      </c>
      <c r="G86" s="12">
        <v>0</v>
      </c>
    </row>
    <row r="87" spans="1:8" x14ac:dyDescent="0.2">
      <c r="A87" s="26" t="s">
        <v>8</v>
      </c>
      <c r="B87" s="12"/>
      <c r="C87" s="12"/>
      <c r="D87" s="12"/>
      <c r="E87" s="12"/>
      <c r="F87" s="12">
        <v>0</v>
      </c>
      <c r="G87" s="12">
        <v>0</v>
      </c>
    </row>
    <row r="88" spans="1:8" x14ac:dyDescent="0.2">
      <c r="A88" s="26" t="s">
        <v>9</v>
      </c>
      <c r="B88" s="12"/>
      <c r="C88" s="12"/>
      <c r="D88" s="12"/>
      <c r="E88" s="12"/>
      <c r="F88" s="12">
        <v>0</v>
      </c>
      <c r="G88" s="12">
        <v>0</v>
      </c>
    </row>
    <row r="89" spans="1:8" x14ac:dyDescent="0.2">
      <c r="A89" s="26" t="s">
        <v>10</v>
      </c>
      <c r="B89" s="12"/>
      <c r="C89" s="12"/>
      <c r="D89" s="12"/>
      <c r="E89" s="12"/>
      <c r="F89" s="12">
        <v>0</v>
      </c>
      <c r="G89" s="12">
        <v>0</v>
      </c>
    </row>
    <row r="90" spans="1:8" x14ac:dyDescent="0.2">
      <c r="A90" s="26" t="s">
        <v>11</v>
      </c>
      <c r="B90" s="13"/>
      <c r="C90" s="9"/>
      <c r="D90" s="9"/>
      <c r="E90" s="9"/>
      <c r="F90" s="9">
        <v>0</v>
      </c>
      <c r="G90" s="13">
        <v>0</v>
      </c>
      <c r="H90" s="62"/>
    </row>
    <row r="91" spans="1:8" x14ac:dyDescent="0.2">
      <c r="A91" s="25"/>
      <c r="B91" s="14"/>
      <c r="C91" s="14"/>
      <c r="D91" s="14"/>
      <c r="E91" s="14"/>
      <c r="F91" s="14">
        <f>SUM(F79:F90)</f>
        <v>0</v>
      </c>
      <c r="G91" s="14">
        <f>SUM(G79:G90)</f>
        <v>0</v>
      </c>
      <c r="H91" s="14">
        <f>SUM(H79:H90)</f>
        <v>0</v>
      </c>
    </row>
  </sheetData>
  <phoneticPr fontId="4" type="noConversion"/>
  <printOptions horizontalCentered="1"/>
  <pageMargins left="0" right="0" top="0.79" bottom="0.8" header="0.39" footer="0.36"/>
  <pageSetup scale="75" orientation="landscape" r:id="rId1"/>
  <headerFooter alignWithMargins="0">
    <oddHeader>&amp;CCook County</oddHeader>
    <oddFooter>&amp;R&amp;F
6/17/04</oddFooter>
  </headerFooter>
  <rowBreaks count="8" manualBreakCount="8">
    <brk id="43" max="65535" man="1"/>
    <brk id="86" max="65535" man="1"/>
    <brk id="129" max="65535" man="1"/>
    <brk id="172" max="65535" man="1"/>
    <brk id="215" max="65535" man="1"/>
    <brk id="258" max="65535" man="1"/>
    <brk id="301" max="65535" man="1"/>
    <brk id="344" max="6553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140625" customWidth="1"/>
    <col min="7" max="7" width="5.7109375" bestFit="1" customWidth="1"/>
    <col min="8" max="11" width="5" bestFit="1" customWidth="1"/>
    <col min="12" max="12" width="9.140625" bestFit="1" customWidth="1"/>
    <col min="13" max="21" width="10.7109375" bestFit="1" customWidth="1"/>
  </cols>
  <sheetData>
    <row r="1" spans="1:21" x14ac:dyDescent="0.2">
      <c r="A1" s="121" t="s">
        <v>163</v>
      </c>
    </row>
    <row r="2" spans="1:21" x14ac:dyDescent="0.2">
      <c r="A2" s="24" t="s">
        <v>84</v>
      </c>
      <c r="B2" s="6">
        <v>5.0000000000000001E-3</v>
      </c>
      <c r="D2" s="94" t="s">
        <v>208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235315</v>
      </c>
      <c r="N5" s="117">
        <v>288703</v>
      </c>
      <c r="O5" s="117">
        <v>300566</v>
      </c>
      <c r="P5" s="117">
        <v>289391</v>
      </c>
      <c r="Q5" s="117">
        <v>300992</v>
      </c>
      <c r="R5" s="1">
        <v>324773</v>
      </c>
      <c r="S5" s="1">
        <v>340164</v>
      </c>
      <c r="T5" s="1">
        <v>366573</v>
      </c>
      <c r="U5" s="1">
        <v>425965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189646</v>
      </c>
      <c r="N6" s="117">
        <v>204348</v>
      </c>
      <c r="O6" s="117">
        <v>212204</v>
      </c>
      <c r="P6" s="117">
        <v>215173</v>
      </c>
      <c r="Q6" s="117">
        <v>225959</v>
      </c>
      <c r="R6" s="1">
        <v>231739</v>
      </c>
      <c r="S6" s="1">
        <v>250243</v>
      </c>
      <c r="T6" s="1">
        <v>295606</v>
      </c>
      <c r="U6" s="1">
        <v>333705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198651</v>
      </c>
      <c r="N7" s="117">
        <v>190908</v>
      </c>
      <c r="O7" s="117">
        <v>195312</v>
      </c>
      <c r="P7" s="117">
        <v>194433</v>
      </c>
      <c r="Q7" s="117">
        <v>210918</v>
      </c>
      <c r="R7" s="1">
        <v>225588</v>
      </c>
      <c r="S7" s="1">
        <v>279144</v>
      </c>
      <c r="T7" s="1">
        <v>278869</v>
      </c>
      <c r="U7" s="1">
        <v>295542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223088</v>
      </c>
      <c r="N8" s="117">
        <v>225771</v>
      </c>
      <c r="O8" s="117">
        <v>233854</v>
      </c>
      <c r="P8" s="117">
        <v>242157</v>
      </c>
      <c r="Q8" s="117">
        <v>254627</v>
      </c>
      <c r="R8" s="1">
        <v>251149</v>
      </c>
      <c r="S8" s="1">
        <v>338043</v>
      </c>
      <c r="T8" s="1">
        <v>347328</v>
      </c>
      <c r="U8" s="1">
        <v>339752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247518</v>
      </c>
      <c r="N9" s="117">
        <v>248961</v>
      </c>
      <c r="O9" s="117">
        <v>257305</v>
      </c>
      <c r="P9" s="117">
        <v>241777</v>
      </c>
      <c r="Q9" s="117">
        <v>263953</v>
      </c>
      <c r="R9" s="1">
        <v>273369</v>
      </c>
      <c r="S9" s="1">
        <v>338846</v>
      </c>
      <c r="T9" s="1">
        <v>350091</v>
      </c>
      <c r="U9" s="1">
        <v>350641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275556</v>
      </c>
      <c r="N10" s="117">
        <v>275010</v>
      </c>
      <c r="O10" s="117">
        <v>296246</v>
      </c>
      <c r="P10" s="117">
        <v>311520</v>
      </c>
      <c r="Q10" s="117">
        <v>330205</v>
      </c>
      <c r="R10" s="1">
        <v>353403</v>
      </c>
      <c r="S10" s="1">
        <v>390147</v>
      </c>
      <c r="T10" s="1">
        <v>488665</v>
      </c>
      <c r="U10" s="1">
        <v>479357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253404</v>
      </c>
      <c r="N11" s="117">
        <v>247982</v>
      </c>
      <c r="O11" s="117">
        <v>261793</v>
      </c>
      <c r="P11" s="117">
        <v>304357</v>
      </c>
      <c r="Q11" s="117">
        <v>328737</v>
      </c>
      <c r="R11" s="1">
        <v>299893</v>
      </c>
      <c r="S11" s="1">
        <v>410958</v>
      </c>
      <c r="T11" s="1">
        <v>491317</v>
      </c>
      <c r="U11" s="1">
        <v>558536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353078</v>
      </c>
      <c r="N12" s="117">
        <v>360510</v>
      </c>
      <c r="O12" s="117">
        <v>360748</v>
      </c>
      <c r="P12" s="117">
        <v>391810</v>
      </c>
      <c r="Q12" s="117">
        <v>391776</v>
      </c>
      <c r="R12" s="1">
        <v>433972</v>
      </c>
      <c r="S12" s="1">
        <v>425863</v>
      </c>
      <c r="T12" s="1">
        <v>488116</v>
      </c>
      <c r="U12" s="1">
        <v>470533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270589</v>
      </c>
      <c r="N13" s="117">
        <v>290653</v>
      </c>
      <c r="O13" s="117">
        <v>296169</v>
      </c>
      <c r="P13" s="117">
        <v>315265</v>
      </c>
      <c r="Q13" s="117">
        <v>335159</v>
      </c>
      <c r="R13" s="2">
        <v>343970</v>
      </c>
      <c r="S13" s="1">
        <v>377896</v>
      </c>
      <c r="T13" s="1">
        <v>462143</v>
      </c>
      <c r="U13" s="1">
        <v>455979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>
        <v>36</v>
      </c>
      <c r="M14" s="117">
        <v>268810</v>
      </c>
      <c r="N14" s="117">
        <v>282045</v>
      </c>
      <c r="O14" s="117">
        <v>296793</v>
      </c>
      <c r="P14" s="117">
        <v>292317</v>
      </c>
      <c r="Q14" s="117">
        <v>321589</v>
      </c>
      <c r="R14" s="1">
        <v>336652</v>
      </c>
      <c r="S14" s="1">
        <v>386948</v>
      </c>
      <c r="T14" s="1">
        <v>433702</v>
      </c>
      <c r="U14" s="1">
        <v>449282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>
        <v>208637</v>
      </c>
      <c r="M15" s="117">
        <v>243824</v>
      </c>
      <c r="N15" s="117">
        <v>250128</v>
      </c>
      <c r="O15" s="117">
        <v>274204</v>
      </c>
      <c r="P15" s="117">
        <v>287614</v>
      </c>
      <c r="Q15" s="117">
        <v>292765</v>
      </c>
      <c r="R15" s="1">
        <v>301506</v>
      </c>
      <c r="S15" s="1">
        <v>328644</v>
      </c>
      <c r="T15" s="1">
        <v>400665</v>
      </c>
      <c r="U15" s="1">
        <v>391100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>
        <v>203852</v>
      </c>
      <c r="M16" s="95">
        <v>224376</v>
      </c>
      <c r="N16" s="95">
        <v>240447</v>
      </c>
      <c r="O16" s="95">
        <v>253635</v>
      </c>
      <c r="P16" s="95">
        <v>275182</v>
      </c>
      <c r="Q16" s="95">
        <v>270091</v>
      </c>
      <c r="R16" s="1">
        <v>289418</v>
      </c>
      <c r="S16" s="1">
        <v>322015</v>
      </c>
      <c r="T16" s="1">
        <v>452239</v>
      </c>
      <c r="U16" s="1">
        <v>388517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>
        <f t="shared" ref="L17" si="0">SUM(L5:L16)</f>
        <v>412525</v>
      </c>
      <c r="M17" s="96">
        <f t="shared" ref="M17:Q17" si="1">SUM(M5:M16)</f>
        <v>2983855</v>
      </c>
      <c r="N17" s="96">
        <f t="shared" si="1"/>
        <v>3105466</v>
      </c>
      <c r="O17" s="96">
        <f t="shared" si="1"/>
        <v>3238829</v>
      </c>
      <c r="P17" s="96">
        <f t="shared" si="1"/>
        <v>3360996</v>
      </c>
      <c r="Q17" s="96">
        <f t="shared" si="1"/>
        <v>3526771</v>
      </c>
      <c r="R17" s="126">
        <f t="shared" ref="R17:S17" si="2">SUM(R5:R16)</f>
        <v>3665432</v>
      </c>
      <c r="S17" s="126">
        <f t="shared" si="2"/>
        <v>4188911</v>
      </c>
      <c r="T17" s="126">
        <f t="shared" ref="T17:U17" si="3">SUM(T5:T16)</f>
        <v>4855314</v>
      </c>
      <c r="U17" s="126">
        <f t="shared" si="3"/>
        <v>4938909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208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16896</v>
      </c>
      <c r="N24" s="117">
        <v>15801</v>
      </c>
      <c r="O24" s="117">
        <v>15287</v>
      </c>
      <c r="P24" s="117">
        <v>20523</v>
      </c>
      <c r="Q24" s="117">
        <v>32113</v>
      </c>
      <c r="R24" s="1">
        <v>15937</v>
      </c>
      <c r="S24" s="1">
        <v>26127</v>
      </c>
      <c r="T24" s="1">
        <v>30241</v>
      </c>
      <c r="U24" s="1">
        <v>25938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8824</v>
      </c>
      <c r="N25" s="117">
        <v>8036</v>
      </c>
      <c r="O25" s="117">
        <v>10003</v>
      </c>
      <c r="P25" s="117">
        <v>9357</v>
      </c>
      <c r="Q25" s="117">
        <v>8130</v>
      </c>
      <c r="R25" s="1">
        <v>9503</v>
      </c>
      <c r="S25" s="1">
        <v>8754</v>
      </c>
      <c r="T25" s="1">
        <v>9410</v>
      </c>
      <c r="U25" s="1">
        <v>11883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8349</v>
      </c>
      <c r="N26" s="117">
        <v>8307</v>
      </c>
      <c r="O26" s="117">
        <v>9897</v>
      </c>
      <c r="P26" s="117">
        <v>7146</v>
      </c>
      <c r="Q26" s="117">
        <v>10144</v>
      </c>
      <c r="R26" s="1">
        <v>9897</v>
      </c>
      <c r="S26" s="1">
        <v>7357</v>
      </c>
      <c r="T26" s="1">
        <v>8850</v>
      </c>
      <c r="U26" s="1">
        <v>10723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12239</v>
      </c>
      <c r="N27" s="117">
        <v>6586</v>
      </c>
      <c r="O27" s="117">
        <v>9203</v>
      </c>
      <c r="P27" s="117">
        <v>11404</v>
      </c>
      <c r="Q27" s="117">
        <v>10940</v>
      </c>
      <c r="R27" s="117">
        <v>7994</v>
      </c>
      <c r="S27" s="1">
        <v>13554</v>
      </c>
      <c r="T27" s="1">
        <v>13341</v>
      </c>
      <c r="U27" s="1">
        <v>13103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17884</v>
      </c>
      <c r="N28" s="117">
        <v>8742</v>
      </c>
      <c r="O28" s="117">
        <v>10198</v>
      </c>
      <c r="P28" s="117">
        <v>11520</v>
      </c>
      <c r="Q28" s="117">
        <v>11521</v>
      </c>
      <c r="R28" s="1">
        <v>8222</v>
      </c>
      <c r="S28" s="1">
        <v>9503</v>
      </c>
      <c r="T28" s="1">
        <v>8718</v>
      </c>
      <c r="U28" s="1">
        <v>3920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13345</v>
      </c>
      <c r="N29" s="117">
        <v>11003</v>
      </c>
      <c r="O29" s="117">
        <v>13535</v>
      </c>
      <c r="P29" s="117">
        <v>10290</v>
      </c>
      <c r="Q29" s="117">
        <v>13817</v>
      </c>
      <c r="R29" s="1">
        <v>4428</v>
      </c>
      <c r="S29" s="1">
        <v>9909</v>
      </c>
      <c r="T29" s="1">
        <v>12411</v>
      </c>
      <c r="U29" s="1">
        <v>15411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14370</v>
      </c>
      <c r="N30" s="117">
        <v>11346</v>
      </c>
      <c r="O30" s="117">
        <v>22457</v>
      </c>
      <c r="P30" s="117">
        <v>12631</v>
      </c>
      <c r="Q30" s="117">
        <v>14899</v>
      </c>
      <c r="R30" s="1">
        <v>11432</v>
      </c>
      <c r="S30" s="1">
        <v>12136</v>
      </c>
      <c r="T30" s="1">
        <v>16082</v>
      </c>
      <c r="U30" s="1">
        <v>16157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22854</v>
      </c>
      <c r="N31" s="117">
        <v>11631</v>
      </c>
      <c r="O31" s="117">
        <v>9762</v>
      </c>
      <c r="P31" s="117">
        <v>11406</v>
      </c>
      <c r="Q31" s="117">
        <v>14829</v>
      </c>
      <c r="R31" s="1">
        <v>12527</v>
      </c>
      <c r="S31" s="1">
        <v>8965</v>
      </c>
      <c r="T31" s="1">
        <v>13108</v>
      </c>
      <c r="U31" s="1">
        <v>13263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12470</v>
      </c>
      <c r="N32" s="117">
        <v>12877</v>
      </c>
      <c r="O32" s="117">
        <v>18659</v>
      </c>
      <c r="P32" s="117">
        <v>11634</v>
      </c>
      <c r="Q32" s="117">
        <v>13508</v>
      </c>
      <c r="R32" s="2">
        <v>11157</v>
      </c>
      <c r="S32" s="1">
        <v>9603</v>
      </c>
      <c r="T32" s="1">
        <v>10183</v>
      </c>
      <c r="U32" s="1">
        <v>22173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>
        <v>0</v>
      </c>
      <c r="M33" s="117">
        <v>16104</v>
      </c>
      <c r="N33" s="117">
        <v>11704</v>
      </c>
      <c r="O33" s="117">
        <v>13508</v>
      </c>
      <c r="P33" s="117">
        <v>12888</v>
      </c>
      <c r="Q33" s="117">
        <v>11027</v>
      </c>
      <c r="R33" s="1">
        <v>13834</v>
      </c>
      <c r="S33" s="1">
        <v>12408</v>
      </c>
      <c r="T33" s="1">
        <v>15748</v>
      </c>
      <c r="U33" s="1">
        <v>22488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>
        <v>14160</v>
      </c>
      <c r="M34" s="117">
        <v>11292</v>
      </c>
      <c r="N34" s="117">
        <v>8502</v>
      </c>
      <c r="O34" s="117">
        <v>9027</v>
      </c>
      <c r="P34" s="117">
        <v>9797</v>
      </c>
      <c r="Q34" s="117">
        <v>13120</v>
      </c>
      <c r="R34" s="1">
        <v>8218</v>
      </c>
      <c r="S34" s="1">
        <v>10669</v>
      </c>
      <c r="T34" s="1">
        <v>13531</v>
      </c>
      <c r="U34" s="1">
        <v>18313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>
        <v>11960</v>
      </c>
      <c r="M35" s="95">
        <v>8603</v>
      </c>
      <c r="N35" s="95">
        <v>7976</v>
      </c>
      <c r="O35" s="95">
        <v>10154</v>
      </c>
      <c r="P35" s="95">
        <v>9436</v>
      </c>
      <c r="Q35" s="95">
        <v>9980</v>
      </c>
      <c r="R35" s="1">
        <v>8870</v>
      </c>
      <c r="S35" s="1">
        <v>12316</v>
      </c>
      <c r="T35" s="1">
        <v>13886</v>
      </c>
      <c r="U35" s="1">
        <v>14189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>
        <f t="shared" ref="L36:Q36" si="4">SUM(L24:L35)</f>
        <v>26120</v>
      </c>
      <c r="M36" s="96">
        <f t="shared" si="4"/>
        <v>163230</v>
      </c>
      <c r="N36" s="96">
        <f t="shared" si="4"/>
        <v>122511</v>
      </c>
      <c r="O36" s="96">
        <f t="shared" si="4"/>
        <v>151690</v>
      </c>
      <c r="P36" s="96">
        <f t="shared" si="4"/>
        <v>138032</v>
      </c>
      <c r="Q36" s="96">
        <f t="shared" si="4"/>
        <v>164028</v>
      </c>
      <c r="R36" s="126">
        <f t="shared" ref="R36:S36" si="5">SUM(R24:R35)</f>
        <v>122019</v>
      </c>
      <c r="S36" s="126">
        <f t="shared" si="5"/>
        <v>141301</v>
      </c>
      <c r="T36" s="126">
        <f t="shared" ref="T36:U36" si="6">SUM(T24:T35)</f>
        <v>165509</v>
      </c>
      <c r="U36" s="126">
        <f t="shared" si="6"/>
        <v>187561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>
        <v>-7</v>
      </c>
      <c r="N42" s="117">
        <v>-2072</v>
      </c>
      <c r="O42" s="117">
        <v>-301</v>
      </c>
      <c r="P42" s="117">
        <v>-102</v>
      </c>
      <c r="Q42" s="117">
        <v>-121</v>
      </c>
      <c r="R42" s="1">
        <v>-6252</v>
      </c>
      <c r="S42" s="117">
        <v>-160</v>
      </c>
      <c r="T42" s="1">
        <v>-57</v>
      </c>
      <c r="U42" s="117">
        <v>-226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>
        <v>-91</v>
      </c>
      <c r="N43" s="117">
        <v>-166</v>
      </c>
      <c r="O43" s="117">
        <v>-299</v>
      </c>
      <c r="P43" s="117">
        <v>-8733</v>
      </c>
      <c r="Q43" s="117">
        <v>0</v>
      </c>
      <c r="R43" s="1">
        <v>-7511</v>
      </c>
      <c r="S43" s="117">
        <v>-1635</v>
      </c>
      <c r="T43" s="1">
        <v>-68</v>
      </c>
      <c r="U43" s="117">
        <v>-692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>
        <v>-2281</v>
      </c>
      <c r="N44" s="117">
        <v>-2415</v>
      </c>
      <c r="O44" s="117">
        <v>6</v>
      </c>
      <c r="P44" s="117">
        <v>-5</v>
      </c>
      <c r="Q44" s="117">
        <v>0</v>
      </c>
      <c r="R44" s="1">
        <v>-5259</v>
      </c>
      <c r="S44" s="117">
        <v>-57</v>
      </c>
      <c r="T44" s="1">
        <v>-45</v>
      </c>
      <c r="U44" s="117">
        <v>-272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>
        <v>-1140</v>
      </c>
      <c r="N45" s="117">
        <v>-1580</v>
      </c>
      <c r="O45" s="117">
        <v>-2942</v>
      </c>
      <c r="P45" s="117">
        <v>-3</v>
      </c>
      <c r="Q45" s="117">
        <v>-23</v>
      </c>
      <c r="R45" s="1">
        <v>-383</v>
      </c>
      <c r="S45" s="117">
        <v>0</v>
      </c>
      <c r="T45" s="1">
        <v>-1010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-2771</v>
      </c>
      <c r="N46" s="117">
        <v>-84</v>
      </c>
      <c r="O46" s="117">
        <v>0</v>
      </c>
      <c r="P46" s="117">
        <v>-1358</v>
      </c>
      <c r="Q46" s="117">
        <v>0</v>
      </c>
      <c r="R46" s="1">
        <v>-643</v>
      </c>
      <c r="S46" s="117">
        <v>-262</v>
      </c>
      <c r="T46" s="1">
        <v>-848</v>
      </c>
      <c r="U46" s="1">
        <v>-1491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-483</v>
      </c>
      <c r="N47" s="117">
        <v>-424</v>
      </c>
      <c r="O47" s="117">
        <v>-2620</v>
      </c>
      <c r="P47" s="117">
        <v>0</v>
      </c>
      <c r="Q47" s="117">
        <v>-956</v>
      </c>
      <c r="R47" s="1">
        <v>-2538</v>
      </c>
      <c r="S47" s="117">
        <v>-732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-4</v>
      </c>
      <c r="N48" s="117">
        <v>0</v>
      </c>
      <c r="O48" s="117">
        <v>-49</v>
      </c>
      <c r="P48" s="117">
        <v>0</v>
      </c>
      <c r="Q48" s="117">
        <v>-69</v>
      </c>
      <c r="R48" s="1">
        <v>-138</v>
      </c>
      <c r="S48" s="117">
        <v>-93</v>
      </c>
      <c r="T48" s="1">
        <v>-6173</v>
      </c>
      <c r="U48" s="117">
        <v>-1156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-85</v>
      </c>
      <c r="N49" s="117">
        <v>-4330</v>
      </c>
      <c r="O49" s="117">
        <v>-1434</v>
      </c>
      <c r="P49" s="117">
        <v>-13</v>
      </c>
      <c r="Q49" s="117">
        <v>-5</v>
      </c>
      <c r="R49" s="117">
        <v>-506</v>
      </c>
      <c r="S49" s="117">
        <v>0</v>
      </c>
      <c r="T49" s="1">
        <v>-42</v>
      </c>
      <c r="U49" s="117">
        <v>-21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-8655</v>
      </c>
      <c r="N50" s="117">
        <v>-168</v>
      </c>
      <c r="O50" s="117">
        <v>-45</v>
      </c>
      <c r="P50" s="117">
        <v>0</v>
      </c>
      <c r="Q50" s="117">
        <v>-5795</v>
      </c>
      <c r="R50" s="2">
        <v>-6077</v>
      </c>
      <c r="S50" s="117">
        <v>-5</v>
      </c>
      <c r="T50" s="1">
        <v>0</v>
      </c>
      <c r="U50" s="1">
        <v>-6644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0</v>
      </c>
      <c r="M51" s="117">
        <v>-87</v>
      </c>
      <c r="N51" s="117">
        <v>-4</v>
      </c>
      <c r="O51" s="117">
        <v>-25313</v>
      </c>
      <c r="P51" s="117">
        <v>-2573</v>
      </c>
      <c r="Q51" s="117">
        <v>0</v>
      </c>
      <c r="R51" s="117">
        <v>-28</v>
      </c>
      <c r="S51" s="117">
        <v>0</v>
      </c>
      <c r="T51" s="1">
        <v>-1541</v>
      </c>
      <c r="U51" s="117">
        <v>-440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-70</v>
      </c>
      <c r="M52" s="117">
        <v>-3965</v>
      </c>
      <c r="N52" s="117">
        <v>-254</v>
      </c>
      <c r="O52" s="117">
        <v>0</v>
      </c>
      <c r="P52" s="117">
        <v>-2</v>
      </c>
      <c r="Q52" s="117">
        <v>-5108</v>
      </c>
      <c r="R52" s="1">
        <v>-335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>
        <v>-1</v>
      </c>
      <c r="M53" s="168">
        <v>-4</v>
      </c>
      <c r="N53" s="168">
        <v>0</v>
      </c>
      <c r="O53" s="168">
        <v>-2335</v>
      </c>
      <c r="P53" s="168">
        <v>-2775</v>
      </c>
      <c r="Q53" s="168">
        <v>0</v>
      </c>
      <c r="R53" s="168">
        <v>-2</v>
      </c>
      <c r="S53" s="182">
        <v>-4712</v>
      </c>
      <c r="T53" s="1">
        <v>-5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7">SUM(L42:L53)</f>
        <v>-71</v>
      </c>
      <c r="M54" s="96">
        <f t="shared" ref="M54:Q54" si="8">SUM(M42:M53)</f>
        <v>-19573</v>
      </c>
      <c r="N54" s="96">
        <f t="shared" si="8"/>
        <v>-11497</v>
      </c>
      <c r="O54" s="96">
        <f t="shared" si="8"/>
        <v>-35332</v>
      </c>
      <c r="P54" s="96">
        <f t="shared" si="8"/>
        <v>-15564</v>
      </c>
      <c r="Q54" s="96">
        <f t="shared" si="8"/>
        <v>-12077</v>
      </c>
      <c r="R54" s="126">
        <f t="shared" ref="R54:S54" si="9">SUM(R42:R53)</f>
        <v>-29672</v>
      </c>
      <c r="S54" s="126">
        <f t="shared" si="9"/>
        <v>-7656</v>
      </c>
      <c r="T54" s="126">
        <f t="shared" ref="T54:U54" si="10">SUM(T42:T53)</f>
        <v>-9789</v>
      </c>
      <c r="U54" s="126">
        <f t="shared" si="10"/>
        <v>-10942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.140625" customWidth="1"/>
    <col min="6" max="6" width="5.7109375" customWidth="1"/>
    <col min="7" max="7" width="5.7109375" bestFit="1" customWidth="1"/>
    <col min="8" max="12" width="5" bestFit="1" customWidth="1"/>
    <col min="13" max="18" width="9.28515625" bestFit="1" customWidth="1"/>
    <col min="19" max="21" width="10.7109375" bestFit="1" customWidth="1"/>
  </cols>
  <sheetData>
    <row r="1" spans="1:21" x14ac:dyDescent="0.2">
      <c r="A1" s="121" t="s">
        <v>165</v>
      </c>
    </row>
    <row r="2" spans="1:21" x14ac:dyDescent="0.2">
      <c r="A2" s="24" t="s">
        <v>84</v>
      </c>
      <c r="B2" s="6">
        <v>5.0000000000000001E-3</v>
      </c>
      <c r="D2" s="94" t="s">
        <v>209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0</v>
      </c>
      <c r="N5" s="117">
        <v>61701</v>
      </c>
      <c r="O5" s="117">
        <v>65952</v>
      </c>
      <c r="P5" s="117">
        <v>67220</v>
      </c>
      <c r="Q5" s="117">
        <v>71492</v>
      </c>
      <c r="R5" s="1">
        <v>88087</v>
      </c>
      <c r="S5" s="1">
        <v>86419</v>
      </c>
      <c r="T5" s="1">
        <v>103478</v>
      </c>
      <c r="U5" s="1">
        <v>111013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32145</v>
      </c>
      <c r="N6" s="117">
        <v>48534</v>
      </c>
      <c r="O6" s="117">
        <v>55825</v>
      </c>
      <c r="P6" s="117">
        <v>53727</v>
      </c>
      <c r="Q6" s="117">
        <v>59225</v>
      </c>
      <c r="R6" s="1">
        <v>74694</v>
      </c>
      <c r="S6" s="1">
        <v>72606</v>
      </c>
      <c r="T6" s="1">
        <v>96917</v>
      </c>
      <c r="U6" s="1">
        <v>87794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37415</v>
      </c>
      <c r="N7" s="117">
        <v>46341</v>
      </c>
      <c r="O7" s="117">
        <v>46567</v>
      </c>
      <c r="P7" s="117">
        <v>49514</v>
      </c>
      <c r="Q7" s="117">
        <v>53709</v>
      </c>
      <c r="R7" s="1">
        <v>59572</v>
      </c>
      <c r="S7" s="1">
        <v>73154</v>
      </c>
      <c r="T7" s="1">
        <v>73647</v>
      </c>
      <c r="U7" s="1">
        <v>83265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48476</v>
      </c>
      <c r="N8" s="117">
        <v>53850</v>
      </c>
      <c r="O8" s="117">
        <v>59003</v>
      </c>
      <c r="P8" s="117">
        <v>56686</v>
      </c>
      <c r="Q8" s="117">
        <v>63309</v>
      </c>
      <c r="R8" s="1">
        <v>63121</v>
      </c>
      <c r="S8" s="1">
        <v>91427</v>
      </c>
      <c r="T8" s="1">
        <v>89084</v>
      </c>
      <c r="U8" s="1">
        <v>93125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46644</v>
      </c>
      <c r="N9" s="117">
        <v>56151</v>
      </c>
      <c r="O9" s="117">
        <v>60928</v>
      </c>
      <c r="P9" s="117">
        <v>56505</v>
      </c>
      <c r="Q9" s="117">
        <v>61136</v>
      </c>
      <c r="R9" s="1">
        <v>75094</v>
      </c>
      <c r="S9" s="1">
        <v>89072</v>
      </c>
      <c r="T9" s="1">
        <v>86270</v>
      </c>
      <c r="U9" s="1">
        <v>90885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52037</v>
      </c>
      <c r="N10" s="117">
        <v>59304</v>
      </c>
      <c r="O10" s="117">
        <v>62184</v>
      </c>
      <c r="P10" s="117">
        <v>68305</v>
      </c>
      <c r="Q10" s="117">
        <v>73588</v>
      </c>
      <c r="R10" s="1">
        <v>86412</v>
      </c>
      <c r="S10" s="1">
        <v>96967</v>
      </c>
      <c r="T10" s="1">
        <v>102802</v>
      </c>
      <c r="U10" s="1">
        <v>109227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57513</v>
      </c>
      <c r="N11" s="117">
        <v>60886</v>
      </c>
      <c r="O11" s="117">
        <v>65793</v>
      </c>
      <c r="P11" s="117">
        <v>74558</v>
      </c>
      <c r="Q11" s="117">
        <v>73705</v>
      </c>
      <c r="R11" s="1">
        <v>97792</v>
      </c>
      <c r="S11" s="1">
        <v>103527</v>
      </c>
      <c r="T11" s="1">
        <v>144314</v>
      </c>
      <c r="U11" s="1">
        <v>134544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62043</v>
      </c>
      <c r="N12" s="117">
        <v>64283</v>
      </c>
      <c r="O12" s="117">
        <v>67113</v>
      </c>
      <c r="P12" s="117">
        <v>80914</v>
      </c>
      <c r="Q12" s="117">
        <v>83749</v>
      </c>
      <c r="R12" s="1">
        <v>100218</v>
      </c>
      <c r="S12" s="1">
        <v>107083</v>
      </c>
      <c r="T12" s="1">
        <v>114922</v>
      </c>
      <c r="U12" s="1">
        <v>113482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55297</v>
      </c>
      <c r="N13" s="117">
        <v>60928</v>
      </c>
      <c r="O13" s="117">
        <v>70654</v>
      </c>
      <c r="P13" s="117">
        <v>81140</v>
      </c>
      <c r="Q13" s="117">
        <v>77474</v>
      </c>
      <c r="R13" s="2">
        <v>89705</v>
      </c>
      <c r="S13" s="1">
        <v>94914</v>
      </c>
      <c r="T13" s="1">
        <v>117766</v>
      </c>
      <c r="U13" s="1">
        <v>119531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62203</v>
      </c>
      <c r="N14" s="117">
        <v>68933</v>
      </c>
      <c r="O14" s="117">
        <v>70800</v>
      </c>
      <c r="P14" s="117">
        <v>75460</v>
      </c>
      <c r="Q14" s="117">
        <v>81082</v>
      </c>
      <c r="R14" s="1">
        <v>91905</v>
      </c>
      <c r="S14" s="1">
        <v>100712</v>
      </c>
      <c r="T14" s="1">
        <v>125398</v>
      </c>
      <c r="U14" s="1">
        <v>119153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57998</v>
      </c>
      <c r="N15" s="117">
        <v>57751</v>
      </c>
      <c r="O15" s="117">
        <v>68240</v>
      </c>
      <c r="P15" s="117">
        <v>72580</v>
      </c>
      <c r="Q15" s="117">
        <v>77929</v>
      </c>
      <c r="R15" s="1">
        <v>81558</v>
      </c>
      <c r="S15" s="1">
        <v>96276</v>
      </c>
      <c r="T15" s="1">
        <v>112273</v>
      </c>
      <c r="U15" s="1">
        <v>98417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52332</v>
      </c>
      <c r="N16" s="95">
        <v>54407</v>
      </c>
      <c r="O16" s="95">
        <v>58643</v>
      </c>
      <c r="P16" s="95">
        <v>67014</v>
      </c>
      <c r="Q16" s="95">
        <v>69757</v>
      </c>
      <c r="R16" s="1">
        <v>77853</v>
      </c>
      <c r="S16" s="1">
        <v>91975</v>
      </c>
      <c r="T16" s="1">
        <v>105235</v>
      </c>
      <c r="U16" s="1">
        <v>99609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Q17" si="0">SUM(M5:M16)</f>
        <v>564103</v>
      </c>
      <c r="N17" s="96">
        <f t="shared" si="0"/>
        <v>693069</v>
      </c>
      <c r="O17" s="96">
        <f t="shared" si="0"/>
        <v>751702</v>
      </c>
      <c r="P17" s="96">
        <f t="shared" si="0"/>
        <v>803623</v>
      </c>
      <c r="Q17" s="96">
        <f t="shared" si="0"/>
        <v>846155</v>
      </c>
      <c r="R17" s="126">
        <f t="shared" ref="R17:S17" si="1">SUM(R5:R16)</f>
        <v>986011</v>
      </c>
      <c r="S17" s="126">
        <f t="shared" si="1"/>
        <v>1104132</v>
      </c>
      <c r="T17" s="126">
        <f t="shared" ref="T17:U17" si="2">SUM(T5:T16)</f>
        <v>1272106</v>
      </c>
      <c r="U17" s="126">
        <f t="shared" si="2"/>
        <v>1260045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0</v>
      </c>
      <c r="N24" s="117">
        <v>5233</v>
      </c>
      <c r="O24" s="117">
        <v>3418</v>
      </c>
      <c r="P24" s="117">
        <v>2995</v>
      </c>
      <c r="Q24" s="117">
        <v>3597</v>
      </c>
      <c r="R24" s="117">
        <v>4230</v>
      </c>
      <c r="S24" s="1">
        <v>5517</v>
      </c>
      <c r="T24" s="1">
        <v>3744</v>
      </c>
      <c r="U24" s="1">
        <v>3784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1745</v>
      </c>
      <c r="N25" s="117">
        <v>3040</v>
      </c>
      <c r="O25" s="117">
        <v>2153</v>
      </c>
      <c r="P25" s="117">
        <v>2001</v>
      </c>
      <c r="Q25" s="117">
        <v>2374</v>
      </c>
      <c r="R25" s="1">
        <v>2964</v>
      </c>
      <c r="S25" s="1">
        <v>2703</v>
      </c>
      <c r="T25" s="1">
        <v>2233</v>
      </c>
      <c r="U25" s="1">
        <v>2522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1694</v>
      </c>
      <c r="N26" s="117">
        <v>1223</v>
      </c>
      <c r="O26" s="117">
        <v>1964</v>
      </c>
      <c r="P26" s="117">
        <v>3026</v>
      </c>
      <c r="Q26" s="117">
        <v>2270</v>
      </c>
      <c r="R26" s="113">
        <v>2420</v>
      </c>
      <c r="S26" s="1">
        <v>2650</v>
      </c>
      <c r="T26" s="1">
        <v>1673</v>
      </c>
      <c r="U26" s="1">
        <v>2674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3978</v>
      </c>
      <c r="N27" s="117">
        <v>1964</v>
      </c>
      <c r="O27" s="117">
        <v>3000</v>
      </c>
      <c r="P27" s="117">
        <v>2081</v>
      </c>
      <c r="Q27" s="117">
        <v>2907</v>
      </c>
      <c r="R27" s="1">
        <v>3236</v>
      </c>
      <c r="S27" s="1">
        <v>3204</v>
      </c>
      <c r="T27" s="1">
        <v>3735</v>
      </c>
      <c r="U27" s="1">
        <v>3933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2556</v>
      </c>
      <c r="N28" s="117">
        <v>2528</v>
      </c>
      <c r="O28" s="117">
        <v>2698</v>
      </c>
      <c r="P28" s="117">
        <v>2733</v>
      </c>
      <c r="Q28" s="117">
        <v>2167</v>
      </c>
      <c r="R28" s="1">
        <v>1746</v>
      </c>
      <c r="S28" s="1">
        <v>4155</v>
      </c>
      <c r="T28" s="1">
        <v>2460</v>
      </c>
      <c r="U28" s="1">
        <v>3803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4699</v>
      </c>
      <c r="N29" s="117">
        <v>1803</v>
      </c>
      <c r="O29" s="117">
        <v>3481</v>
      </c>
      <c r="P29" s="117">
        <v>3605</v>
      </c>
      <c r="Q29" s="117">
        <v>3096</v>
      </c>
      <c r="R29" s="113">
        <v>1559</v>
      </c>
      <c r="S29" s="1">
        <v>5199</v>
      </c>
      <c r="T29" s="1">
        <v>3254</v>
      </c>
      <c r="U29" s="1">
        <v>3495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1654</v>
      </c>
      <c r="N30" s="117">
        <v>2399</v>
      </c>
      <c r="O30" s="117">
        <v>7144</v>
      </c>
      <c r="P30" s="117">
        <v>3322</v>
      </c>
      <c r="Q30" s="117">
        <v>3564</v>
      </c>
      <c r="R30" s="1">
        <v>3973</v>
      </c>
      <c r="S30" s="1">
        <v>3540</v>
      </c>
      <c r="T30" s="1">
        <v>4956</v>
      </c>
      <c r="U30" s="1">
        <v>6619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9483</v>
      </c>
      <c r="N31" s="117">
        <v>2035</v>
      </c>
      <c r="O31" s="117">
        <v>7190</v>
      </c>
      <c r="P31" s="117">
        <v>5061</v>
      </c>
      <c r="Q31" s="117">
        <v>10030</v>
      </c>
      <c r="R31" s="1">
        <v>3189</v>
      </c>
      <c r="S31" s="1">
        <v>2615</v>
      </c>
      <c r="T31" s="1">
        <v>3283</v>
      </c>
      <c r="U31" s="1">
        <v>14419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5439</v>
      </c>
      <c r="N32" s="117">
        <v>2852</v>
      </c>
      <c r="O32" s="117">
        <v>1539</v>
      </c>
      <c r="P32" s="117">
        <v>4672</v>
      </c>
      <c r="Q32" s="117">
        <v>3621</v>
      </c>
      <c r="R32" s="2">
        <v>3660</v>
      </c>
      <c r="S32" s="1">
        <v>3980</v>
      </c>
      <c r="T32" s="1">
        <v>2995</v>
      </c>
      <c r="U32" s="1">
        <v>9152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1671</v>
      </c>
      <c r="N33" s="117">
        <v>2964</v>
      </c>
      <c r="O33" s="117">
        <v>4421</v>
      </c>
      <c r="P33" s="117">
        <v>3797</v>
      </c>
      <c r="Q33" s="117">
        <v>4799</v>
      </c>
      <c r="R33" s="1">
        <v>4817</v>
      </c>
      <c r="S33" s="1">
        <v>3329</v>
      </c>
      <c r="T33" s="1">
        <v>4028</v>
      </c>
      <c r="U33" s="1">
        <v>5563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2369</v>
      </c>
      <c r="N34" s="117">
        <v>1512</v>
      </c>
      <c r="O34" s="117">
        <v>3018</v>
      </c>
      <c r="P34" s="117">
        <v>2766</v>
      </c>
      <c r="Q34" s="117">
        <v>5561</v>
      </c>
      <c r="R34" s="1">
        <v>2038</v>
      </c>
      <c r="S34" s="1">
        <v>2081</v>
      </c>
      <c r="T34" s="1">
        <v>5093</v>
      </c>
      <c r="U34" s="1">
        <v>5037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2294</v>
      </c>
      <c r="N35" s="95">
        <v>2052</v>
      </c>
      <c r="O35" s="95">
        <v>2607</v>
      </c>
      <c r="P35" s="95">
        <v>4622</v>
      </c>
      <c r="Q35" s="95">
        <v>2412</v>
      </c>
      <c r="R35" s="1">
        <v>5265</v>
      </c>
      <c r="S35" s="1">
        <v>2507</v>
      </c>
      <c r="T35" s="1">
        <v>3656</v>
      </c>
      <c r="U35" s="1">
        <v>6663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Q36" si="3">SUM(M24:M35)</f>
        <v>37582</v>
      </c>
      <c r="N36" s="96">
        <f t="shared" si="3"/>
        <v>29605</v>
      </c>
      <c r="O36" s="96">
        <f t="shared" si="3"/>
        <v>42633</v>
      </c>
      <c r="P36" s="96">
        <f t="shared" si="3"/>
        <v>40681</v>
      </c>
      <c r="Q36" s="96">
        <f t="shared" si="3"/>
        <v>46398</v>
      </c>
      <c r="R36" s="126">
        <f t="shared" ref="R36:S36" si="4">SUM(R24:R35)</f>
        <v>39097</v>
      </c>
      <c r="S36" s="126">
        <f t="shared" si="4"/>
        <v>41480</v>
      </c>
      <c r="T36" s="126">
        <f t="shared" ref="T36:U36" si="5">SUM(T24:T35)</f>
        <v>41110</v>
      </c>
      <c r="U36" s="126">
        <f t="shared" si="5"/>
        <v>67664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>
        <v>0</v>
      </c>
      <c r="N42" s="117">
        <v>0</v>
      </c>
      <c r="O42" s="117">
        <v>0</v>
      </c>
      <c r="P42" s="117">
        <v>-8367</v>
      </c>
      <c r="Q42" s="117">
        <v>0</v>
      </c>
      <c r="R42" s="1">
        <v>-1033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>
        <v>0</v>
      </c>
      <c r="N43" s="117">
        <v>-7</v>
      </c>
      <c r="O43" s="117">
        <v>0</v>
      </c>
      <c r="P43" s="117">
        <v>0</v>
      </c>
      <c r="Q43" s="117">
        <v>0</v>
      </c>
      <c r="R43" s="1">
        <v>-652</v>
      </c>
      <c r="S43" s="1">
        <v>-10548</v>
      </c>
      <c r="T43" s="1">
        <v>-1</v>
      </c>
      <c r="U43" s="1">
        <v>-11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>
        <v>0</v>
      </c>
      <c r="N44" s="117">
        <v>0</v>
      </c>
      <c r="O44" s="117">
        <v>-1000</v>
      </c>
      <c r="P44" s="117">
        <v>0</v>
      </c>
      <c r="Q44" s="117">
        <v>-1865</v>
      </c>
      <c r="R44" s="1">
        <v>-141</v>
      </c>
      <c r="S44" s="117">
        <v>-12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-1485</v>
      </c>
      <c r="O45" s="117">
        <v>-494</v>
      </c>
      <c r="P45" s="117">
        <v>0</v>
      </c>
      <c r="Q45" s="117">
        <v>0</v>
      </c>
      <c r="R45" s="1">
        <v>-5103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-14</v>
      </c>
      <c r="N46" s="117">
        <v>0</v>
      </c>
      <c r="O46" s="117">
        <v>0</v>
      </c>
      <c r="P46" s="117">
        <v>0</v>
      </c>
      <c r="Q46" s="117">
        <v>0</v>
      </c>
      <c r="R46" s="1">
        <v>-614</v>
      </c>
      <c r="S46" s="117">
        <v>0</v>
      </c>
      <c r="T46" s="1">
        <v>-18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0</v>
      </c>
      <c r="N47" s="117">
        <v>0</v>
      </c>
      <c r="O47" s="117">
        <v>-611</v>
      </c>
      <c r="P47" s="117">
        <v>0</v>
      </c>
      <c r="Q47" s="117">
        <v>0</v>
      </c>
      <c r="R47" s="117">
        <v>-691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-83</v>
      </c>
      <c r="O48" s="117">
        <v>-16</v>
      </c>
      <c r="P48" s="117">
        <v>0</v>
      </c>
      <c r="Q48" s="117">
        <v>-7503</v>
      </c>
      <c r="R48" s="1">
        <v>-4</v>
      </c>
      <c r="S48" s="117">
        <v>0</v>
      </c>
      <c r="T48" s="1">
        <v>-216</v>
      </c>
      <c r="U48" s="117">
        <v>-97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-60</v>
      </c>
      <c r="N49" s="117">
        <v>0</v>
      </c>
      <c r="O49" s="117">
        <v>0</v>
      </c>
      <c r="P49" s="117">
        <v>-20</v>
      </c>
      <c r="Q49" s="117">
        <v>-2991</v>
      </c>
      <c r="R49" s="117">
        <v>-5078</v>
      </c>
      <c r="S49" s="117">
        <v>0</v>
      </c>
      <c r="T49" s="1">
        <v>-1844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0</v>
      </c>
      <c r="N50" s="117">
        <v>0</v>
      </c>
      <c r="O50" s="117">
        <v>-2</v>
      </c>
      <c r="P50" s="117">
        <v>-130</v>
      </c>
      <c r="Q50" s="117">
        <v>0</v>
      </c>
      <c r="R50" s="117">
        <v>0</v>
      </c>
      <c r="S50" s="1">
        <v>-1128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-5613</v>
      </c>
      <c r="N51" s="117">
        <v>-904</v>
      </c>
      <c r="O51" s="117">
        <v>0</v>
      </c>
      <c r="P51" s="117">
        <v>0</v>
      </c>
      <c r="Q51" s="117">
        <v>-1029</v>
      </c>
      <c r="R51" s="117">
        <v>0</v>
      </c>
      <c r="S51" s="117">
        <v>0</v>
      </c>
      <c r="T51" s="1">
        <v>0</v>
      </c>
      <c r="U51" s="117">
        <v>-6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-3</v>
      </c>
      <c r="N52" s="117">
        <v>0</v>
      </c>
      <c r="O52" s="117">
        <v>0</v>
      </c>
      <c r="P52" s="117">
        <v>-219</v>
      </c>
      <c r="Q52" s="117">
        <v>-311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8">
        <v>0</v>
      </c>
      <c r="N53" s="168">
        <v>-48</v>
      </c>
      <c r="O53" s="168">
        <v>0</v>
      </c>
      <c r="P53" s="168">
        <v>-31</v>
      </c>
      <c r="Q53" s="168">
        <v>-152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Q54" si="6">SUM(M42:M53)</f>
        <v>-5690</v>
      </c>
      <c r="N54" s="96">
        <f t="shared" si="6"/>
        <v>-2527</v>
      </c>
      <c r="O54" s="96">
        <f t="shared" si="6"/>
        <v>-2123</v>
      </c>
      <c r="P54" s="96">
        <f t="shared" si="6"/>
        <v>-8767</v>
      </c>
      <c r="Q54" s="96">
        <f t="shared" si="6"/>
        <v>-13851</v>
      </c>
      <c r="R54" s="126">
        <f t="shared" ref="R54:S54" si="7">SUM(R42:R53)</f>
        <v>-13316</v>
      </c>
      <c r="S54" s="126">
        <f t="shared" si="7"/>
        <v>-11688</v>
      </c>
      <c r="T54" s="126">
        <f t="shared" ref="T54:U54" si="8">SUM(T42:T53)</f>
        <v>-2079</v>
      </c>
      <c r="U54" s="126">
        <f t="shared" si="8"/>
        <v>-114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85546875" customWidth="1"/>
    <col min="5" max="5" width="5" bestFit="1" customWidth="1"/>
    <col min="6" max="6" width="5.42578125" customWidth="1"/>
    <col min="7" max="7" width="5.7109375" bestFit="1" customWidth="1"/>
    <col min="8" max="12" width="5" bestFit="1" customWidth="1"/>
    <col min="13" max="18" width="9.28515625" bestFit="1" customWidth="1"/>
    <col min="19" max="21" width="10.7109375" bestFit="1" customWidth="1"/>
  </cols>
  <sheetData>
    <row r="1" spans="1:21" x14ac:dyDescent="0.2">
      <c r="A1" s="121" t="s">
        <v>166</v>
      </c>
    </row>
    <row r="2" spans="1:21" x14ac:dyDescent="0.2">
      <c r="A2" s="24" t="s">
        <v>84</v>
      </c>
      <c r="B2" s="6">
        <v>5.0000000000000001E-3</v>
      </c>
      <c r="D2" s="94" t="s">
        <v>209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>
        <v>8</v>
      </c>
      <c r="N5" s="117">
        <v>69732</v>
      </c>
      <c r="O5" s="117">
        <v>76955</v>
      </c>
      <c r="P5" s="117">
        <v>73345</v>
      </c>
      <c r="Q5" s="117">
        <v>78611</v>
      </c>
      <c r="R5" s="117">
        <v>85834</v>
      </c>
      <c r="S5" s="1">
        <v>92079</v>
      </c>
      <c r="T5" s="1">
        <v>108826</v>
      </c>
      <c r="U5" s="1">
        <v>152454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>
        <v>40393</v>
      </c>
      <c r="N6" s="117">
        <v>55395</v>
      </c>
      <c r="O6" s="117">
        <v>55507</v>
      </c>
      <c r="P6" s="117">
        <v>64812</v>
      </c>
      <c r="Q6" s="117">
        <v>60266</v>
      </c>
      <c r="R6" s="1">
        <v>67702</v>
      </c>
      <c r="S6" s="1">
        <v>74472</v>
      </c>
      <c r="T6" s="1">
        <v>79445</v>
      </c>
      <c r="U6" s="1">
        <v>89821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>
        <v>45067</v>
      </c>
      <c r="N7" s="117">
        <v>55573</v>
      </c>
      <c r="O7" s="117">
        <v>56665</v>
      </c>
      <c r="P7" s="117">
        <v>51761</v>
      </c>
      <c r="Q7" s="117">
        <v>51268</v>
      </c>
      <c r="R7" s="1">
        <v>60440</v>
      </c>
      <c r="S7" s="1">
        <v>69838</v>
      </c>
      <c r="T7" s="1">
        <v>88457</v>
      </c>
      <c r="U7" s="1">
        <v>84478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62268</v>
      </c>
      <c r="N8" s="117">
        <v>63440</v>
      </c>
      <c r="O8" s="117">
        <v>60579</v>
      </c>
      <c r="P8" s="117">
        <v>59821</v>
      </c>
      <c r="Q8" s="117">
        <v>61433</v>
      </c>
      <c r="R8" s="1">
        <v>70018</v>
      </c>
      <c r="S8" s="1">
        <v>90292</v>
      </c>
      <c r="T8" s="1">
        <v>96280</v>
      </c>
      <c r="U8" s="1">
        <v>106681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61393</v>
      </c>
      <c r="N9" s="117">
        <v>60703</v>
      </c>
      <c r="O9" s="117">
        <v>65134</v>
      </c>
      <c r="P9" s="117">
        <v>58350</v>
      </c>
      <c r="Q9" s="117">
        <v>63956</v>
      </c>
      <c r="R9" s="1">
        <v>70238</v>
      </c>
      <c r="S9" s="1">
        <v>91097</v>
      </c>
      <c r="T9" s="1">
        <v>93065</v>
      </c>
      <c r="U9" s="1">
        <v>92274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68433</v>
      </c>
      <c r="N10" s="117">
        <v>68575</v>
      </c>
      <c r="O10" s="117">
        <v>70660</v>
      </c>
      <c r="P10" s="117">
        <v>77648</v>
      </c>
      <c r="Q10" s="117">
        <v>82766</v>
      </c>
      <c r="R10" s="1">
        <v>88473</v>
      </c>
      <c r="S10" s="1">
        <v>92814</v>
      </c>
      <c r="T10" s="1">
        <v>102550</v>
      </c>
      <c r="U10" s="1">
        <v>111750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67948</v>
      </c>
      <c r="N11" s="117">
        <v>69232</v>
      </c>
      <c r="O11" s="117">
        <v>70600</v>
      </c>
      <c r="P11" s="117">
        <v>73254</v>
      </c>
      <c r="Q11" s="117">
        <v>79424</v>
      </c>
      <c r="R11" s="1">
        <v>87873</v>
      </c>
      <c r="S11" s="1">
        <v>103570</v>
      </c>
      <c r="T11" s="1">
        <v>130648</v>
      </c>
      <c r="U11" s="1">
        <v>132886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77668</v>
      </c>
      <c r="N12" s="117">
        <v>78211</v>
      </c>
      <c r="O12" s="117">
        <v>85774</v>
      </c>
      <c r="P12" s="117">
        <v>87203</v>
      </c>
      <c r="Q12" s="117">
        <v>90335</v>
      </c>
      <c r="R12" s="1">
        <v>103080</v>
      </c>
      <c r="S12" s="1">
        <v>98615</v>
      </c>
      <c r="T12" s="1">
        <v>105880</v>
      </c>
      <c r="U12" s="1">
        <v>116140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67809</v>
      </c>
      <c r="N13" s="117">
        <v>77484</v>
      </c>
      <c r="O13" s="117">
        <v>73557</v>
      </c>
      <c r="P13" s="117">
        <v>80916</v>
      </c>
      <c r="Q13" s="117">
        <v>80171</v>
      </c>
      <c r="R13" s="2">
        <v>84422</v>
      </c>
      <c r="S13" s="1">
        <v>99330</v>
      </c>
      <c r="T13" s="1">
        <v>115214</v>
      </c>
      <c r="U13" s="1">
        <v>119894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80619</v>
      </c>
      <c r="N14" s="117">
        <v>78803</v>
      </c>
      <c r="O14" s="117">
        <v>82724</v>
      </c>
      <c r="P14" s="117">
        <v>92467</v>
      </c>
      <c r="Q14" s="117">
        <v>88536</v>
      </c>
      <c r="R14" s="1">
        <v>90046</v>
      </c>
      <c r="S14" s="1">
        <v>107602</v>
      </c>
      <c r="T14" s="1">
        <v>115101</v>
      </c>
      <c r="U14" s="1">
        <v>119136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64110</v>
      </c>
      <c r="N15" s="117">
        <v>67249</v>
      </c>
      <c r="O15" s="117">
        <v>67915</v>
      </c>
      <c r="P15" s="117">
        <v>76471</v>
      </c>
      <c r="Q15" s="117">
        <v>80512</v>
      </c>
      <c r="R15" s="1">
        <v>82034</v>
      </c>
      <c r="S15" s="1">
        <v>92224</v>
      </c>
      <c r="T15" s="1">
        <v>105009</v>
      </c>
      <c r="U15" s="1">
        <v>106238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63235</v>
      </c>
      <c r="N16" s="95">
        <v>65751</v>
      </c>
      <c r="O16" s="95">
        <v>65307</v>
      </c>
      <c r="P16" s="95">
        <v>74783</v>
      </c>
      <c r="Q16" s="95">
        <v>76253</v>
      </c>
      <c r="R16" s="1">
        <v>86544</v>
      </c>
      <c r="S16" s="1">
        <v>93993</v>
      </c>
      <c r="T16" s="1">
        <v>112095</v>
      </c>
      <c r="U16" s="1">
        <v>98873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Q17" si="0">SUM(M5:M16)</f>
        <v>698951</v>
      </c>
      <c r="N17" s="96">
        <f t="shared" si="0"/>
        <v>810148</v>
      </c>
      <c r="O17" s="96">
        <f t="shared" si="0"/>
        <v>831377</v>
      </c>
      <c r="P17" s="96">
        <f t="shared" si="0"/>
        <v>870831</v>
      </c>
      <c r="Q17" s="96">
        <f t="shared" si="0"/>
        <v>893531</v>
      </c>
      <c r="R17" s="126">
        <f t="shared" ref="R17:S17" si="1">SUM(R5:R16)</f>
        <v>976704</v>
      </c>
      <c r="S17" s="126">
        <f t="shared" si="1"/>
        <v>1105926</v>
      </c>
      <c r="T17" s="126">
        <f t="shared" ref="T17:U17" si="2">SUM(T5:T16)</f>
        <v>1252570</v>
      </c>
      <c r="U17" s="126">
        <f t="shared" si="2"/>
        <v>1330625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209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>
        <v>0</v>
      </c>
      <c r="N24" s="117">
        <v>2552</v>
      </c>
      <c r="O24" s="117">
        <v>3305</v>
      </c>
      <c r="P24" s="117">
        <v>9374</v>
      </c>
      <c r="Q24" s="117">
        <v>9767</v>
      </c>
      <c r="R24" s="1">
        <v>9682</v>
      </c>
      <c r="S24" s="1">
        <v>9607</v>
      </c>
      <c r="T24" s="1">
        <v>5653</v>
      </c>
      <c r="U24" s="1">
        <v>16327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>
        <v>1062</v>
      </c>
      <c r="N25" s="117">
        <v>4413</v>
      </c>
      <c r="O25" s="117">
        <v>2798</v>
      </c>
      <c r="P25" s="117">
        <v>3078</v>
      </c>
      <c r="Q25" s="117">
        <v>6253</v>
      </c>
      <c r="R25" s="1">
        <v>6507</v>
      </c>
      <c r="S25" s="117">
        <v>413</v>
      </c>
      <c r="T25" s="1">
        <v>9100</v>
      </c>
      <c r="U25" s="1">
        <v>8772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>
        <v>1354</v>
      </c>
      <c r="N26" s="117">
        <v>3925</v>
      </c>
      <c r="O26" s="117">
        <v>2082</v>
      </c>
      <c r="P26" s="117">
        <v>2276</v>
      </c>
      <c r="Q26" s="117">
        <v>7527</v>
      </c>
      <c r="R26" s="1">
        <v>2017</v>
      </c>
      <c r="S26" s="1">
        <v>7416</v>
      </c>
      <c r="T26" s="1">
        <v>6096</v>
      </c>
      <c r="U26" s="1">
        <v>7680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1560</v>
      </c>
      <c r="N27" s="117">
        <v>3194</v>
      </c>
      <c r="O27" s="117">
        <v>4344</v>
      </c>
      <c r="P27" s="117">
        <v>2398</v>
      </c>
      <c r="Q27" s="117">
        <v>6442</v>
      </c>
      <c r="R27" s="1">
        <v>2788</v>
      </c>
      <c r="S27" s="1">
        <v>8031</v>
      </c>
      <c r="T27" s="1">
        <v>6636</v>
      </c>
      <c r="U27" s="1">
        <v>7404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1041</v>
      </c>
      <c r="N28" s="117">
        <v>3136</v>
      </c>
      <c r="O28" s="117">
        <v>4175</v>
      </c>
      <c r="P28" s="117">
        <v>2129</v>
      </c>
      <c r="Q28" s="117">
        <v>4492</v>
      </c>
      <c r="R28" s="1">
        <v>7203</v>
      </c>
      <c r="S28" s="1">
        <v>10259</v>
      </c>
      <c r="T28" s="1">
        <v>6847</v>
      </c>
      <c r="U28" s="1">
        <v>9054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1263</v>
      </c>
      <c r="N29" s="117">
        <v>1984</v>
      </c>
      <c r="O29" s="117">
        <v>4939</v>
      </c>
      <c r="P29" s="117">
        <v>5944</v>
      </c>
      <c r="Q29" s="117">
        <v>4157</v>
      </c>
      <c r="R29" s="113">
        <v>15544</v>
      </c>
      <c r="S29" s="1">
        <v>10494</v>
      </c>
      <c r="T29" s="1">
        <v>10328</v>
      </c>
      <c r="U29" s="1">
        <v>14132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2094</v>
      </c>
      <c r="N30" s="117">
        <v>4294</v>
      </c>
      <c r="O30" s="117">
        <v>2141</v>
      </c>
      <c r="P30" s="117">
        <v>3068</v>
      </c>
      <c r="Q30" s="117">
        <v>4772</v>
      </c>
      <c r="R30" s="1">
        <v>1764</v>
      </c>
      <c r="S30" s="1">
        <v>10756</v>
      </c>
      <c r="T30" s="1">
        <v>29006</v>
      </c>
      <c r="U30" s="1">
        <v>16093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3748</v>
      </c>
      <c r="N31" s="117">
        <v>3788</v>
      </c>
      <c r="O31" s="117">
        <v>4450</v>
      </c>
      <c r="P31" s="117">
        <v>3462</v>
      </c>
      <c r="Q31" s="117">
        <v>5430</v>
      </c>
      <c r="R31" s="1">
        <v>3788</v>
      </c>
      <c r="S31" s="1">
        <v>9172</v>
      </c>
      <c r="T31" s="1">
        <v>8220</v>
      </c>
      <c r="U31" s="1">
        <v>7677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4561</v>
      </c>
      <c r="N32" s="117">
        <v>3100</v>
      </c>
      <c r="O32" s="117">
        <v>6255</v>
      </c>
      <c r="P32" s="117">
        <v>2786</v>
      </c>
      <c r="Q32" s="117">
        <v>6026</v>
      </c>
      <c r="R32" s="2">
        <v>7077</v>
      </c>
      <c r="S32" s="1">
        <v>4816</v>
      </c>
      <c r="T32" s="1">
        <v>9660</v>
      </c>
      <c r="U32" s="1">
        <v>10167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4655</v>
      </c>
      <c r="N33" s="117">
        <v>4343</v>
      </c>
      <c r="O33" s="117">
        <v>3081</v>
      </c>
      <c r="P33" s="117">
        <v>3942</v>
      </c>
      <c r="Q33" s="117">
        <v>5087</v>
      </c>
      <c r="R33" s="1">
        <v>9046</v>
      </c>
      <c r="S33" s="1">
        <v>11907</v>
      </c>
      <c r="T33" s="1">
        <v>33920</v>
      </c>
      <c r="U33" s="1">
        <v>13490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3198</v>
      </c>
      <c r="N34" s="117">
        <v>3140</v>
      </c>
      <c r="O34" s="117">
        <v>3706</v>
      </c>
      <c r="P34" s="117">
        <v>2761</v>
      </c>
      <c r="Q34" s="117">
        <v>3595</v>
      </c>
      <c r="R34" s="1">
        <v>8022</v>
      </c>
      <c r="S34" s="1">
        <v>4777</v>
      </c>
      <c r="T34" s="1">
        <v>7715</v>
      </c>
      <c r="U34" s="1">
        <v>8091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3062</v>
      </c>
      <c r="N35" s="95">
        <v>2266</v>
      </c>
      <c r="O35" s="95">
        <v>3045</v>
      </c>
      <c r="P35" s="95">
        <v>2510</v>
      </c>
      <c r="Q35" s="95">
        <v>5886</v>
      </c>
      <c r="R35" s="1">
        <v>3618</v>
      </c>
      <c r="S35" s="1">
        <v>6188</v>
      </c>
      <c r="T35" s="1">
        <v>11882</v>
      </c>
      <c r="U35" s="1">
        <v>9167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Q36" si="3">SUM(M24:M35)</f>
        <v>27598</v>
      </c>
      <c r="N36" s="96">
        <f t="shared" si="3"/>
        <v>40135</v>
      </c>
      <c r="O36" s="96">
        <f t="shared" si="3"/>
        <v>44321</v>
      </c>
      <c r="P36" s="96">
        <f t="shared" si="3"/>
        <v>43728</v>
      </c>
      <c r="Q36" s="96">
        <f t="shared" si="3"/>
        <v>69434</v>
      </c>
      <c r="R36" s="126">
        <f t="shared" ref="R36:S36" si="4">SUM(R24:R35)</f>
        <v>77056</v>
      </c>
      <c r="S36" s="126">
        <f t="shared" si="4"/>
        <v>93836</v>
      </c>
      <c r="T36" s="126">
        <f t="shared" ref="T36:U36" si="5">SUM(T24:T35)</f>
        <v>145063</v>
      </c>
      <c r="U36" s="126">
        <f t="shared" si="5"/>
        <v>128054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>
        <v>0</v>
      </c>
      <c r="N42" s="117">
        <v>0</v>
      </c>
      <c r="O42" s="117">
        <v>0</v>
      </c>
      <c r="P42" s="117">
        <v>0</v>
      </c>
      <c r="Q42" s="117">
        <v>-3</v>
      </c>
      <c r="R42" s="117">
        <v>0</v>
      </c>
      <c r="S42" s="1">
        <v>-1252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>
        <v>0</v>
      </c>
      <c r="N43" s="117">
        <v>-891</v>
      </c>
      <c r="O43" s="117">
        <v>-7333</v>
      </c>
      <c r="P43" s="117">
        <v>-1026</v>
      </c>
      <c r="Q43" s="117">
        <v>0</v>
      </c>
      <c r="R43" s="1">
        <v>-4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>
        <v>0</v>
      </c>
      <c r="N44" s="117">
        <v>-51</v>
      </c>
      <c r="O44" s="117">
        <v>0</v>
      </c>
      <c r="P44" s="117">
        <v>0</v>
      </c>
      <c r="Q44" s="117">
        <v>-804</v>
      </c>
      <c r="R44" s="117">
        <v>0</v>
      </c>
      <c r="S44" s="117">
        <v>-8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>
        <v>0</v>
      </c>
      <c r="N45" s="117">
        <v>-216</v>
      </c>
      <c r="O45" s="117">
        <v>-6</v>
      </c>
      <c r="P45" s="117">
        <v>-2</v>
      </c>
      <c r="Q45" s="117">
        <v>-4</v>
      </c>
      <c r="R45" s="117">
        <v>-15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0</v>
      </c>
      <c r="N46" s="117">
        <v>0</v>
      </c>
      <c r="O46" s="117">
        <v>-62</v>
      </c>
      <c r="P46" s="117">
        <v>0</v>
      </c>
      <c r="Q46" s="117">
        <v>0</v>
      </c>
      <c r="R46" s="117">
        <v>-188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0</v>
      </c>
      <c r="N47" s="117">
        <v>-476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0</v>
      </c>
      <c r="O48" s="117">
        <v>0</v>
      </c>
      <c r="P48" s="117">
        <v>0</v>
      </c>
      <c r="Q48" s="117">
        <v>-105</v>
      </c>
      <c r="R48" s="117">
        <v>-15</v>
      </c>
      <c r="S48" s="117">
        <v>0</v>
      </c>
      <c r="T48" s="1">
        <v>-21</v>
      </c>
      <c r="U48" s="117">
        <v>-287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-188</v>
      </c>
      <c r="S49" s="117">
        <v>0</v>
      </c>
      <c r="T49" s="1">
        <v>0</v>
      </c>
      <c r="U49" s="1">
        <v>-3396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0</v>
      </c>
      <c r="N50" s="117">
        <v>-72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-3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0</v>
      </c>
      <c r="O51" s="117">
        <v>-63</v>
      </c>
      <c r="P51" s="117">
        <v>-177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0</v>
      </c>
      <c r="N52" s="117">
        <v>0</v>
      </c>
      <c r="O52" s="117">
        <v>0</v>
      </c>
      <c r="P52" s="117">
        <v>0</v>
      </c>
      <c r="Q52" s="117">
        <v>-4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8">
        <v>0</v>
      </c>
      <c r="N53" s="168">
        <v>0</v>
      </c>
      <c r="O53" s="168">
        <v>0</v>
      </c>
      <c r="P53" s="168">
        <v>0</v>
      </c>
      <c r="Q53" s="168">
        <v>0</v>
      </c>
      <c r="R53" s="168">
        <v>0</v>
      </c>
      <c r="S53" s="182">
        <v>0</v>
      </c>
      <c r="T53" s="1">
        <v>-2</v>
      </c>
      <c r="U53" s="182">
        <v>-190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Q54" si="6">SUM(M42:M53)</f>
        <v>0</v>
      </c>
      <c r="N54" s="96">
        <f t="shared" si="6"/>
        <v>-1706</v>
      </c>
      <c r="O54" s="96">
        <f t="shared" si="6"/>
        <v>-7464</v>
      </c>
      <c r="P54" s="96">
        <f t="shared" si="6"/>
        <v>-1205</v>
      </c>
      <c r="Q54" s="96">
        <f t="shared" si="6"/>
        <v>-920</v>
      </c>
      <c r="R54" s="126">
        <f t="shared" ref="R54:S54" si="7">SUM(R42:R53)</f>
        <v>-410</v>
      </c>
      <c r="S54" s="126">
        <f t="shared" si="7"/>
        <v>-1260</v>
      </c>
      <c r="T54" s="126">
        <f t="shared" ref="T54:U54" si="8">SUM(T42:T53)</f>
        <v>-26</v>
      </c>
      <c r="U54" s="126">
        <f t="shared" si="8"/>
        <v>-3873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0E82-B750-46CE-80B0-12778BD37365}">
  <dimension ref="A1:U56"/>
  <sheetViews>
    <sheetView workbookViewId="0">
      <pane xSplit="1" topLeftCell="O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5.5703125" customWidth="1"/>
    <col min="5" max="6" width="5.42578125" customWidth="1"/>
    <col min="7" max="7" width="6.7109375" bestFit="1" customWidth="1"/>
    <col min="8" max="20" width="5" bestFit="1" customWidth="1"/>
    <col min="21" max="21" width="10.7109375" bestFit="1" customWidth="1"/>
  </cols>
  <sheetData>
    <row r="1" spans="1:21" x14ac:dyDescent="0.2">
      <c r="A1" s="121" t="s">
        <v>516</v>
      </c>
    </row>
    <row r="2" spans="1:21" x14ac:dyDescent="0.2">
      <c r="A2" s="24" t="s">
        <v>75</v>
      </c>
      <c r="B2" s="6">
        <v>5.0000000000000001E-3</v>
      </c>
      <c r="D2" s="94" t="s">
        <v>479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"/>
      <c r="S5" s="1"/>
      <c r="T5" s="1"/>
      <c r="U5" s="1"/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"/>
      <c r="S6" s="1"/>
      <c r="T6" s="1"/>
      <c r="U6" s="1"/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"/>
      <c r="S7" s="1"/>
      <c r="T7" s="1"/>
      <c r="U7" s="1"/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"/>
      <c r="S8" s="1"/>
      <c r="T8" s="1"/>
      <c r="U8" s="1"/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"/>
      <c r="S9" s="1"/>
      <c r="T9" s="1"/>
      <c r="U9" s="1">
        <v>143526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/>
      <c r="S10" s="1"/>
      <c r="T10" s="1"/>
      <c r="U10" s="1">
        <v>192529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/>
      <c r="S11" s="1"/>
      <c r="T11" s="1"/>
      <c r="U11" s="1">
        <v>211677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/>
      <c r="S12" s="1"/>
      <c r="T12" s="1"/>
      <c r="U12" s="1">
        <v>195704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/>
      <c r="S13" s="1"/>
      <c r="T13" s="1"/>
      <c r="U13" s="1">
        <v>200745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/>
      <c r="S14" s="1"/>
      <c r="T14" s="1"/>
      <c r="U14" s="1">
        <v>212302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/>
      <c r="S15" s="1"/>
      <c r="T15" s="1"/>
      <c r="U15" s="1">
        <v>198347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/>
      <c r="S16" s="1"/>
      <c r="T16" s="1"/>
      <c r="U16" s="1">
        <v>206209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U17" si="0">SUM(M5:M16)</f>
        <v>0</v>
      </c>
      <c r="N17" s="96">
        <f t="shared" si="0"/>
        <v>0</v>
      </c>
      <c r="O17" s="96">
        <f t="shared" si="0"/>
        <v>0</v>
      </c>
      <c r="P17" s="96">
        <f t="shared" si="0"/>
        <v>0</v>
      </c>
      <c r="Q17" s="96">
        <f t="shared" si="0"/>
        <v>0</v>
      </c>
      <c r="R17" s="126">
        <f t="shared" si="0"/>
        <v>0</v>
      </c>
      <c r="S17" s="126">
        <f t="shared" si="0"/>
        <v>0</v>
      </c>
      <c r="T17" s="126">
        <f t="shared" si="0"/>
        <v>0</v>
      </c>
      <c r="U17" s="126">
        <f t="shared" si="0"/>
        <v>1561039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74</v>
      </c>
      <c r="B21" s="6">
        <v>5.0000000000000001E-3</v>
      </c>
      <c r="D21" s="94" t="s">
        <v>479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"/>
      <c r="S24" s="1"/>
      <c r="T24" s="1"/>
      <c r="U24" s="1"/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"/>
      <c r="S25" s="1"/>
      <c r="T25" s="1"/>
      <c r="U25" s="1"/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"/>
      <c r="S26" s="1"/>
      <c r="T26" s="1"/>
      <c r="U26" s="1"/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"/>
      <c r="S27" s="1"/>
      <c r="T27" s="1"/>
      <c r="U27" s="1"/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"/>
      <c r="S28" s="1"/>
      <c r="T28" s="1"/>
      <c r="U28" s="1">
        <v>7594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"/>
      <c r="S29" s="1"/>
      <c r="T29" s="1"/>
      <c r="U29" s="1">
        <v>10021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/>
      <c r="S30" s="1"/>
      <c r="T30" s="1"/>
      <c r="U30" s="1">
        <v>20418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/>
      <c r="S31" s="1"/>
      <c r="T31" s="1"/>
      <c r="U31" s="1">
        <v>20299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/>
      <c r="S32" s="1"/>
      <c r="T32" s="1"/>
      <c r="U32" s="1">
        <v>16336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/>
      <c r="S33" s="1"/>
      <c r="T33" s="1"/>
      <c r="U33" s="1">
        <v>14025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/>
      <c r="S34" s="1"/>
      <c r="T34" s="1"/>
      <c r="U34" s="1">
        <v>12878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/>
      <c r="S35" s="1"/>
      <c r="T35" s="1"/>
      <c r="U35" s="1">
        <v>11500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U36" si="1">SUM(M24:M35)</f>
        <v>0</v>
      </c>
      <c r="N36" s="96">
        <f t="shared" si="1"/>
        <v>0</v>
      </c>
      <c r="O36" s="96">
        <f t="shared" si="1"/>
        <v>0</v>
      </c>
      <c r="P36" s="96">
        <f t="shared" si="1"/>
        <v>0</v>
      </c>
      <c r="Q36" s="96">
        <f t="shared" si="1"/>
        <v>0</v>
      </c>
      <c r="R36" s="126">
        <f t="shared" si="1"/>
        <v>0</v>
      </c>
      <c r="S36" s="126">
        <f t="shared" si="1"/>
        <v>0</v>
      </c>
      <c r="T36" s="126">
        <f t="shared" si="1"/>
        <v>0</v>
      </c>
      <c r="U36" s="126">
        <f t="shared" si="1"/>
        <v>113071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478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"/>
      <c r="S42" s="117"/>
      <c r="T42" s="1"/>
      <c r="U42" s="1"/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/>
      <c r="S43" s="117"/>
      <c r="T43" s="1"/>
      <c r="U43" s="117"/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/>
      <c r="S44" s="117"/>
      <c r="T44" s="1"/>
      <c r="U44" s="1"/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/>
      <c r="S45" s="117"/>
      <c r="T45" s="1"/>
      <c r="U45" s="117"/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"/>
      <c r="S46" s="117"/>
      <c r="T46" s="1"/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/>
      <c r="S47" s="117"/>
      <c r="T47" s="1"/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"/>
      <c r="S48" s="1"/>
      <c r="T48" s="1"/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/>
      <c r="S49" s="117"/>
      <c r="T49" s="1"/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/>
      <c r="S50" s="117"/>
      <c r="T50" s="1"/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/>
      <c r="S51" s="117"/>
      <c r="T51" s="1"/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"/>
      <c r="S52" s="117"/>
      <c r="T52" s="1"/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82"/>
      <c r="T53" s="1"/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U54" si="2">SUM(M42:M53)</f>
        <v>0</v>
      </c>
      <c r="N54" s="96">
        <f t="shared" si="2"/>
        <v>0</v>
      </c>
      <c r="O54" s="96">
        <f t="shared" si="2"/>
        <v>0</v>
      </c>
      <c r="P54" s="96">
        <f t="shared" si="2"/>
        <v>0</v>
      </c>
      <c r="Q54" s="96">
        <f t="shared" si="2"/>
        <v>0</v>
      </c>
      <c r="R54" s="126">
        <f t="shared" si="2"/>
        <v>0</v>
      </c>
      <c r="S54" s="126">
        <f t="shared" si="2"/>
        <v>0</v>
      </c>
      <c r="T54" s="126">
        <f t="shared" si="2"/>
        <v>0</v>
      </c>
      <c r="U54" s="126">
        <f t="shared" si="2"/>
        <v>0</v>
      </c>
    </row>
    <row r="55" spans="1:21" x14ac:dyDescent="0.2">
      <c r="F55" s="2"/>
    </row>
    <row r="56" spans="1:21" x14ac:dyDescent="0.2">
      <c r="F56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5.5703125" customWidth="1"/>
    <col min="5" max="6" width="5.42578125" customWidth="1"/>
    <col min="7" max="7" width="6.7109375" bestFit="1" customWidth="1"/>
    <col min="8" max="12" width="5" bestFit="1" customWidth="1"/>
    <col min="13" max="13" width="10.28515625" bestFit="1" customWidth="1"/>
    <col min="14" max="21" width="10.7109375" bestFit="1" customWidth="1"/>
  </cols>
  <sheetData>
    <row r="1" spans="1:21" x14ac:dyDescent="0.2">
      <c r="A1" s="121" t="s">
        <v>167</v>
      </c>
    </row>
    <row r="2" spans="1:21" x14ac:dyDescent="0.2">
      <c r="A2" s="24" t="s">
        <v>84</v>
      </c>
      <c r="B2" s="6">
        <v>5.0000000000000001E-3</v>
      </c>
      <c r="D2" s="94" t="s">
        <v>191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137209</v>
      </c>
      <c r="O5" s="117">
        <v>148276</v>
      </c>
      <c r="P5" s="117">
        <v>143142</v>
      </c>
      <c r="Q5" s="117">
        <v>149544</v>
      </c>
      <c r="R5" s="1">
        <v>176267</v>
      </c>
      <c r="S5" s="1">
        <v>200162</v>
      </c>
      <c r="T5" s="1">
        <v>196136</v>
      </c>
      <c r="U5" s="1">
        <v>217149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109839</v>
      </c>
      <c r="O6" s="117">
        <v>111975</v>
      </c>
      <c r="P6" s="117">
        <v>107318</v>
      </c>
      <c r="Q6" s="117">
        <v>124761</v>
      </c>
      <c r="R6" s="1">
        <v>130136</v>
      </c>
      <c r="S6" s="1">
        <v>166345</v>
      </c>
      <c r="T6" s="1">
        <v>166965</v>
      </c>
      <c r="U6" s="1">
        <v>167978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105126</v>
      </c>
      <c r="O7" s="117">
        <v>100880</v>
      </c>
      <c r="P7" s="117">
        <v>98738</v>
      </c>
      <c r="Q7" s="117">
        <v>113832</v>
      </c>
      <c r="R7" s="1">
        <v>117400</v>
      </c>
      <c r="S7" s="1">
        <v>154421</v>
      </c>
      <c r="T7" s="1">
        <v>151311</v>
      </c>
      <c r="U7" s="1">
        <v>156476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20</v>
      </c>
      <c r="N8" s="117">
        <v>118932</v>
      </c>
      <c r="O8" s="117">
        <v>117962</v>
      </c>
      <c r="P8" s="117">
        <v>125946</v>
      </c>
      <c r="Q8" s="117">
        <v>129078</v>
      </c>
      <c r="R8" s="1">
        <v>142537</v>
      </c>
      <c r="S8" s="1">
        <v>212875</v>
      </c>
      <c r="T8" s="1">
        <v>176509</v>
      </c>
      <c r="U8" s="1">
        <v>178967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89191</v>
      </c>
      <c r="N9" s="117">
        <v>114819</v>
      </c>
      <c r="O9" s="117">
        <v>114579</v>
      </c>
      <c r="P9" s="117">
        <v>111947</v>
      </c>
      <c r="Q9" s="117">
        <v>127781</v>
      </c>
      <c r="R9" s="1">
        <v>136351</v>
      </c>
      <c r="S9" s="1">
        <v>188076</v>
      </c>
      <c r="T9" s="1">
        <v>169077</v>
      </c>
      <c r="U9" s="1">
        <v>165774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117427</v>
      </c>
      <c r="N10" s="117">
        <v>131430</v>
      </c>
      <c r="O10" s="117">
        <v>134829</v>
      </c>
      <c r="P10" s="117">
        <v>149757</v>
      </c>
      <c r="Q10" s="117">
        <v>157285</v>
      </c>
      <c r="R10" s="1">
        <v>181078</v>
      </c>
      <c r="S10" s="1">
        <v>201756</v>
      </c>
      <c r="T10" s="1">
        <v>208680</v>
      </c>
      <c r="U10" s="1">
        <v>211162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116923</v>
      </c>
      <c r="N11" s="117">
        <v>132300</v>
      </c>
      <c r="O11" s="117">
        <v>147750</v>
      </c>
      <c r="P11" s="117">
        <v>142475</v>
      </c>
      <c r="Q11" s="117">
        <v>157464</v>
      </c>
      <c r="R11" s="1">
        <v>176202</v>
      </c>
      <c r="S11" s="1">
        <v>208902</v>
      </c>
      <c r="T11" s="1">
        <v>222262</v>
      </c>
      <c r="U11" s="1">
        <v>229158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131805</v>
      </c>
      <c r="N12" s="117">
        <v>146105</v>
      </c>
      <c r="O12" s="117">
        <v>147496</v>
      </c>
      <c r="P12" s="117">
        <v>156554</v>
      </c>
      <c r="Q12" s="117">
        <v>164732</v>
      </c>
      <c r="R12" s="1">
        <v>190155</v>
      </c>
      <c r="S12" s="1">
        <v>211601</v>
      </c>
      <c r="T12" s="1">
        <v>214588</v>
      </c>
      <c r="U12" s="1">
        <v>207687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123123</v>
      </c>
      <c r="N13" s="117">
        <v>134871</v>
      </c>
      <c r="O13" s="117">
        <v>141742</v>
      </c>
      <c r="P13" s="117">
        <v>144815</v>
      </c>
      <c r="Q13" s="117">
        <v>157219</v>
      </c>
      <c r="R13" s="2">
        <v>176724</v>
      </c>
      <c r="S13" s="1">
        <v>204264</v>
      </c>
      <c r="T13" s="1">
        <v>224443</v>
      </c>
      <c r="U13" s="1">
        <v>211731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130075</v>
      </c>
      <c r="N14" s="117">
        <v>136313</v>
      </c>
      <c r="O14" s="117">
        <v>152505</v>
      </c>
      <c r="P14" s="117">
        <v>145877</v>
      </c>
      <c r="Q14" s="117">
        <v>149984</v>
      </c>
      <c r="R14" s="1">
        <v>173987</v>
      </c>
      <c r="S14" s="1">
        <v>217801</v>
      </c>
      <c r="T14" s="1">
        <v>204647</v>
      </c>
      <c r="U14" s="1">
        <v>223330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127257</v>
      </c>
      <c r="N15" s="117">
        <v>131088</v>
      </c>
      <c r="O15" s="117">
        <v>128102</v>
      </c>
      <c r="P15" s="117">
        <v>153428</v>
      </c>
      <c r="Q15" s="117">
        <v>144400</v>
      </c>
      <c r="R15" s="1">
        <v>166812</v>
      </c>
      <c r="S15" s="1">
        <v>191595</v>
      </c>
      <c r="T15" s="1">
        <v>197743</v>
      </c>
      <c r="U15" s="1">
        <v>214117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112479</v>
      </c>
      <c r="N16" s="95">
        <v>129006</v>
      </c>
      <c r="O16" s="95">
        <v>122169</v>
      </c>
      <c r="P16" s="95">
        <v>134814</v>
      </c>
      <c r="Q16" s="95">
        <v>144564</v>
      </c>
      <c r="R16" s="1">
        <v>167649</v>
      </c>
      <c r="S16" s="1">
        <v>187078</v>
      </c>
      <c r="T16" s="1">
        <v>187736</v>
      </c>
      <c r="U16" s="1">
        <v>212138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Q17" si="0">SUM(M5:M16)</f>
        <v>948300</v>
      </c>
      <c r="N17" s="96">
        <f t="shared" si="0"/>
        <v>1527038</v>
      </c>
      <c r="O17" s="96">
        <f t="shared" si="0"/>
        <v>1568265</v>
      </c>
      <c r="P17" s="96">
        <f t="shared" si="0"/>
        <v>1614811</v>
      </c>
      <c r="Q17" s="96">
        <f t="shared" si="0"/>
        <v>1720644</v>
      </c>
      <c r="R17" s="126">
        <f t="shared" ref="R17:S17" si="1">SUM(R5:R16)</f>
        <v>1935298</v>
      </c>
      <c r="S17" s="126">
        <f t="shared" si="1"/>
        <v>2344876</v>
      </c>
      <c r="T17" s="126">
        <f t="shared" ref="T17:U17" si="2">SUM(T5:T16)</f>
        <v>2320097</v>
      </c>
      <c r="U17" s="126">
        <f t="shared" si="2"/>
        <v>2395667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191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40427</v>
      </c>
      <c r="O24" s="117">
        <v>13951</v>
      </c>
      <c r="P24" s="117">
        <v>16286</v>
      </c>
      <c r="Q24" s="117">
        <v>15849</v>
      </c>
      <c r="R24" s="1">
        <v>14024</v>
      </c>
      <c r="S24" s="1">
        <v>30457</v>
      </c>
      <c r="T24" s="1">
        <v>19616</v>
      </c>
      <c r="U24" s="1">
        <v>28063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10342</v>
      </c>
      <c r="O25" s="117">
        <v>13191</v>
      </c>
      <c r="P25" s="117">
        <v>43911</v>
      </c>
      <c r="Q25" s="117">
        <v>15225</v>
      </c>
      <c r="R25" s="1">
        <v>7861</v>
      </c>
      <c r="S25" s="1">
        <v>18698</v>
      </c>
      <c r="T25" s="1">
        <v>19285</v>
      </c>
      <c r="U25" s="1">
        <v>19835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21037</v>
      </c>
      <c r="O26" s="117">
        <v>9874</v>
      </c>
      <c r="P26" s="117">
        <v>16365</v>
      </c>
      <c r="Q26" s="117">
        <v>33264</v>
      </c>
      <c r="R26" s="1">
        <v>11027</v>
      </c>
      <c r="S26" s="1">
        <v>27591</v>
      </c>
      <c r="T26" s="1">
        <v>15170</v>
      </c>
      <c r="U26" s="1">
        <v>18415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0</v>
      </c>
      <c r="N27" s="117">
        <v>26465</v>
      </c>
      <c r="O27" s="117">
        <v>12765</v>
      </c>
      <c r="P27" s="117">
        <v>22859</v>
      </c>
      <c r="Q27" s="117">
        <v>14631</v>
      </c>
      <c r="R27" s="1">
        <v>10086</v>
      </c>
      <c r="S27" s="1">
        <v>22934</v>
      </c>
      <c r="T27" s="1">
        <v>13212</v>
      </c>
      <c r="U27" s="1">
        <v>18509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20944</v>
      </c>
      <c r="N28" s="117">
        <v>10891</v>
      </c>
      <c r="O28" s="117">
        <v>12828</v>
      </c>
      <c r="P28" s="117">
        <v>11625</v>
      </c>
      <c r="Q28" s="117">
        <v>10220</v>
      </c>
      <c r="R28" s="1">
        <v>7817</v>
      </c>
      <c r="S28" s="1">
        <v>19542</v>
      </c>
      <c r="T28" s="1">
        <v>16864</v>
      </c>
      <c r="U28" s="1">
        <v>15023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21717</v>
      </c>
      <c r="N29" s="117">
        <v>9518</v>
      </c>
      <c r="O29" s="117">
        <v>16292</v>
      </c>
      <c r="P29" s="117">
        <v>14426</v>
      </c>
      <c r="Q29" s="117">
        <v>13344</v>
      </c>
      <c r="R29" s="1">
        <v>21898</v>
      </c>
      <c r="S29" s="1">
        <v>21774</v>
      </c>
      <c r="T29" s="1">
        <v>14055</v>
      </c>
      <c r="U29" s="1">
        <v>22693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36033</v>
      </c>
      <c r="N30" s="117">
        <v>10653</v>
      </c>
      <c r="O30" s="117">
        <v>16678</v>
      </c>
      <c r="P30" s="117">
        <v>15282</v>
      </c>
      <c r="Q30" s="117">
        <v>10172</v>
      </c>
      <c r="R30" s="1">
        <v>17700</v>
      </c>
      <c r="S30" s="1">
        <v>661400</v>
      </c>
      <c r="T30" s="1">
        <v>20749</v>
      </c>
      <c r="U30" s="1">
        <v>-17371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33456</v>
      </c>
      <c r="N31" s="117">
        <v>15345</v>
      </c>
      <c r="O31" s="117">
        <v>98241</v>
      </c>
      <c r="P31" s="117">
        <v>18125</v>
      </c>
      <c r="Q31" s="117">
        <v>28553</v>
      </c>
      <c r="R31" s="1">
        <v>10564</v>
      </c>
      <c r="S31" s="1">
        <v>30758</v>
      </c>
      <c r="T31" s="1">
        <v>25434</v>
      </c>
      <c r="U31" s="1">
        <v>18783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10052</v>
      </c>
      <c r="N32" s="117">
        <v>11313</v>
      </c>
      <c r="O32" s="117">
        <v>77804</v>
      </c>
      <c r="P32" s="117">
        <v>10886</v>
      </c>
      <c r="Q32" s="117">
        <v>13629</v>
      </c>
      <c r="R32" s="2">
        <v>20054</v>
      </c>
      <c r="S32" s="1">
        <v>32546</v>
      </c>
      <c r="T32" s="1">
        <v>23709</v>
      </c>
      <c r="U32" s="1">
        <v>20082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12059</v>
      </c>
      <c r="N33" s="117">
        <v>16247</v>
      </c>
      <c r="O33" s="117">
        <v>34115</v>
      </c>
      <c r="P33" s="117">
        <v>14119</v>
      </c>
      <c r="Q33" s="117">
        <v>25540</v>
      </c>
      <c r="R33" s="1">
        <v>19382</v>
      </c>
      <c r="S33" s="1">
        <v>28125</v>
      </c>
      <c r="T33" s="1">
        <v>21523</v>
      </c>
      <c r="U33" s="1">
        <v>26734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9875</v>
      </c>
      <c r="N34" s="117">
        <v>13755</v>
      </c>
      <c r="O34" s="117">
        <v>79036</v>
      </c>
      <c r="P34" s="117">
        <v>13087</v>
      </c>
      <c r="Q34" s="117">
        <v>13605</v>
      </c>
      <c r="R34" s="1">
        <v>12799</v>
      </c>
      <c r="S34" s="1">
        <v>22707</v>
      </c>
      <c r="T34" s="1">
        <v>19662</v>
      </c>
      <c r="U34" s="1">
        <v>21501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10322</v>
      </c>
      <c r="N35" s="95">
        <v>14771</v>
      </c>
      <c r="O35" s="95">
        <v>11620</v>
      </c>
      <c r="P35" s="95">
        <v>12096</v>
      </c>
      <c r="Q35" s="95">
        <v>10815</v>
      </c>
      <c r="R35" s="1">
        <v>12222</v>
      </c>
      <c r="S35" s="1">
        <v>21784</v>
      </c>
      <c r="T35" s="1">
        <v>21400</v>
      </c>
      <c r="U35" s="1">
        <v>18598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Q36" si="3">SUM(M24:M35)</f>
        <v>154458</v>
      </c>
      <c r="N36" s="96">
        <f t="shared" si="3"/>
        <v>200764</v>
      </c>
      <c r="O36" s="96">
        <f t="shared" si="3"/>
        <v>396395</v>
      </c>
      <c r="P36" s="96">
        <f t="shared" si="3"/>
        <v>209067</v>
      </c>
      <c r="Q36" s="96">
        <f t="shared" si="3"/>
        <v>204847</v>
      </c>
      <c r="R36" s="126">
        <f t="shared" ref="R36:S36" si="4">SUM(R24:R35)</f>
        <v>165434</v>
      </c>
      <c r="S36" s="126">
        <f t="shared" si="4"/>
        <v>938316</v>
      </c>
      <c r="T36" s="126">
        <f t="shared" ref="T36:U36" si="5">SUM(T24:T35)</f>
        <v>230679</v>
      </c>
      <c r="U36" s="126">
        <f t="shared" si="5"/>
        <v>210865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-39</v>
      </c>
      <c r="O42" s="117">
        <v>0</v>
      </c>
      <c r="P42" s="117">
        <v>-1</v>
      </c>
      <c r="Q42" s="117">
        <v>0</v>
      </c>
      <c r="R42" s="1">
        <v>-5520</v>
      </c>
      <c r="S42" s="117">
        <v>-15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-24495</v>
      </c>
      <c r="O43" s="117">
        <v>0</v>
      </c>
      <c r="P43" s="117">
        <v>0</v>
      </c>
      <c r="Q43" s="117">
        <v>-35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-52</v>
      </c>
      <c r="O44" s="117">
        <v>0</v>
      </c>
      <c r="P44" s="117">
        <v>0</v>
      </c>
      <c r="Q44" s="117">
        <v>0</v>
      </c>
      <c r="R44" s="117">
        <v>0</v>
      </c>
      <c r="S44" s="117">
        <v>-6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-4</v>
      </c>
      <c r="O45" s="117">
        <v>-10</v>
      </c>
      <c r="P45" s="117">
        <v>-915</v>
      </c>
      <c r="Q45" s="117">
        <v>-1993</v>
      </c>
      <c r="R45" s="117">
        <v>-611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0</v>
      </c>
      <c r="N46" s="117">
        <v>0</v>
      </c>
      <c r="O46" s="117">
        <v>7</v>
      </c>
      <c r="P46" s="117">
        <v>0</v>
      </c>
      <c r="Q46" s="117">
        <v>0</v>
      </c>
      <c r="R46" s="1">
        <v>-11359</v>
      </c>
      <c r="S46" s="117">
        <v>0</v>
      </c>
      <c r="T46" s="1">
        <v>-16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0</v>
      </c>
      <c r="N47" s="117">
        <v>-6655</v>
      </c>
      <c r="O47" s="117">
        <v>0</v>
      </c>
      <c r="P47" s="117">
        <v>-37</v>
      </c>
      <c r="Q47" s="117">
        <v>-149</v>
      </c>
      <c r="R47" s="117">
        <v>0</v>
      </c>
      <c r="S47" s="117">
        <v>-39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-1633</v>
      </c>
      <c r="O48" s="117">
        <v>-49</v>
      </c>
      <c r="P48" s="117">
        <v>0</v>
      </c>
      <c r="Q48" s="117">
        <v>0</v>
      </c>
      <c r="R48" s="1">
        <v>-611</v>
      </c>
      <c r="S48" s="1">
        <v>-269</v>
      </c>
      <c r="T48" s="1">
        <v>-115</v>
      </c>
      <c r="U48" s="1">
        <v>-9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0</v>
      </c>
      <c r="N49" s="117">
        <v>-76</v>
      </c>
      <c r="O49" s="117">
        <v>-34</v>
      </c>
      <c r="P49" s="117">
        <v>0</v>
      </c>
      <c r="Q49" s="117">
        <v>-133</v>
      </c>
      <c r="R49" s="117">
        <v>0</v>
      </c>
      <c r="S49" s="117">
        <v>-30</v>
      </c>
      <c r="T49" s="1">
        <v>0</v>
      </c>
      <c r="U49" s="1">
        <v>-8678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0</v>
      </c>
      <c r="N50" s="117">
        <v>0</v>
      </c>
      <c r="O50" s="117">
        <v>0</v>
      </c>
      <c r="P50" s="117">
        <v>0</v>
      </c>
      <c r="Q50" s="117">
        <v>-549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0</v>
      </c>
      <c r="O51" s="117">
        <v>-895</v>
      </c>
      <c r="P51" s="117">
        <v>0</v>
      </c>
      <c r="Q51" s="117">
        <v>0</v>
      </c>
      <c r="R51" s="117">
        <v>0</v>
      </c>
      <c r="S51" s="117">
        <v>-42</v>
      </c>
      <c r="T51" s="1">
        <v>0</v>
      </c>
      <c r="U51" s="117">
        <v>-11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-33</v>
      </c>
      <c r="N52" s="117">
        <v>0</v>
      </c>
      <c r="O52" s="117">
        <v>0</v>
      </c>
      <c r="P52" s="117">
        <v>0</v>
      </c>
      <c r="Q52" s="117">
        <v>0</v>
      </c>
      <c r="R52" s="1">
        <v>-2600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168"/>
      <c r="G53" s="168"/>
      <c r="H53" s="168"/>
      <c r="I53" s="168"/>
      <c r="J53" s="168"/>
      <c r="K53" s="168"/>
      <c r="L53" s="168"/>
      <c r="M53" s="168">
        <v>0</v>
      </c>
      <c r="N53" s="168">
        <v>0</v>
      </c>
      <c r="O53" s="168">
        <v>0</v>
      </c>
      <c r="P53" s="168">
        <v>-2</v>
      </c>
      <c r="Q53" s="168">
        <v>0</v>
      </c>
      <c r="R53" s="168">
        <v>-27</v>
      </c>
      <c r="S53" s="182">
        <v>0</v>
      </c>
      <c r="T53" s="1">
        <v>0</v>
      </c>
      <c r="U53" s="182">
        <v>-238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Q54" si="6">SUM(M42:M53)</f>
        <v>-33</v>
      </c>
      <c r="N54" s="96">
        <f t="shared" si="6"/>
        <v>-32954</v>
      </c>
      <c r="O54" s="96">
        <f t="shared" si="6"/>
        <v>-981</v>
      </c>
      <c r="P54" s="96">
        <f t="shared" si="6"/>
        <v>-955</v>
      </c>
      <c r="Q54" s="96">
        <f t="shared" si="6"/>
        <v>-2859</v>
      </c>
      <c r="R54" s="126">
        <f t="shared" ref="R54:S54" si="7">SUM(R42:R53)</f>
        <v>-20728</v>
      </c>
      <c r="S54" s="126">
        <f t="shared" si="7"/>
        <v>-401</v>
      </c>
      <c r="T54" s="126">
        <f t="shared" ref="T54:U54" si="8">SUM(T42:T53)</f>
        <v>-131</v>
      </c>
      <c r="U54" s="126">
        <f t="shared" si="8"/>
        <v>-8936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191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>
        <v>3200</v>
      </c>
      <c r="O60" s="117">
        <v>1860</v>
      </c>
      <c r="P60" s="117">
        <v>3380</v>
      </c>
      <c r="Q60" s="117">
        <v>2760</v>
      </c>
      <c r="R60" s="117">
        <v>2960</v>
      </c>
      <c r="S60" s="117">
        <v>2700</v>
      </c>
      <c r="T60" s="1">
        <v>7440</v>
      </c>
      <c r="U60" s="1">
        <v>2600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>
        <v>1380</v>
      </c>
      <c r="O61" s="117">
        <v>15720</v>
      </c>
      <c r="P61" s="117">
        <v>2360</v>
      </c>
      <c r="Q61" s="117">
        <v>2160</v>
      </c>
      <c r="R61" s="113">
        <v>2100</v>
      </c>
      <c r="S61" s="117">
        <v>6200</v>
      </c>
      <c r="T61" s="1">
        <v>1800</v>
      </c>
      <c r="U61" s="117">
        <v>1560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>
        <v>1780</v>
      </c>
      <c r="O62" s="117">
        <v>2380</v>
      </c>
      <c r="P62" s="117">
        <v>2440</v>
      </c>
      <c r="Q62" s="117">
        <v>2160</v>
      </c>
      <c r="R62" s="117">
        <v>2300</v>
      </c>
      <c r="S62" s="117">
        <v>1540</v>
      </c>
      <c r="T62" s="1">
        <v>2320</v>
      </c>
      <c r="U62" s="117">
        <v>1400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>
        <v>2020</v>
      </c>
      <c r="O63" s="117">
        <v>3040</v>
      </c>
      <c r="P63" s="117">
        <v>4960</v>
      </c>
      <c r="Q63" s="117">
        <v>3160</v>
      </c>
      <c r="R63" s="117">
        <v>2540</v>
      </c>
      <c r="S63" s="117">
        <v>3540</v>
      </c>
      <c r="T63" s="1">
        <v>3460</v>
      </c>
      <c r="U63" s="117">
        <v>2600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>
        <v>1040</v>
      </c>
      <c r="N64" s="117">
        <v>1880</v>
      </c>
      <c r="O64" s="117">
        <v>2720</v>
      </c>
      <c r="P64" s="117">
        <v>3360</v>
      </c>
      <c r="Q64" s="117">
        <v>3860</v>
      </c>
      <c r="R64" s="117">
        <v>2060</v>
      </c>
      <c r="S64" s="1">
        <v>2780</v>
      </c>
      <c r="T64" s="1">
        <v>3220</v>
      </c>
      <c r="U64" s="1">
        <v>2280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3"/>
      <c r="M65" s="117">
        <v>1040</v>
      </c>
      <c r="N65" s="117">
        <v>1940</v>
      </c>
      <c r="O65" s="117">
        <v>3040</v>
      </c>
      <c r="P65" s="117">
        <v>5060</v>
      </c>
      <c r="Q65" s="117">
        <v>3760</v>
      </c>
      <c r="R65" s="113">
        <v>3340</v>
      </c>
      <c r="S65" s="117">
        <v>2440</v>
      </c>
      <c r="T65" s="1">
        <v>3400</v>
      </c>
      <c r="U65" s="1">
        <v>3140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>
        <v>1340</v>
      </c>
      <c r="N66" s="117">
        <v>2220</v>
      </c>
      <c r="O66" s="117">
        <v>3780</v>
      </c>
      <c r="P66" s="117">
        <v>5220</v>
      </c>
      <c r="Q66" s="117">
        <v>4160</v>
      </c>
      <c r="R66" s="1">
        <v>4700</v>
      </c>
      <c r="S66" s="1">
        <v>3280</v>
      </c>
      <c r="T66" s="1">
        <v>3480</v>
      </c>
      <c r="U66" s="1">
        <v>2720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>
        <v>1180</v>
      </c>
      <c r="N67" s="117">
        <v>1480</v>
      </c>
      <c r="O67" s="117">
        <v>2420</v>
      </c>
      <c r="P67" s="117">
        <v>4220</v>
      </c>
      <c r="Q67" s="117">
        <v>3360</v>
      </c>
      <c r="R67" s="117">
        <v>4980</v>
      </c>
      <c r="S67" s="117">
        <v>3180</v>
      </c>
      <c r="T67" s="1">
        <v>2180</v>
      </c>
      <c r="U67" s="1">
        <v>2720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>
        <v>760</v>
      </c>
      <c r="N68" s="117">
        <v>1660</v>
      </c>
      <c r="O68" s="117">
        <v>2700</v>
      </c>
      <c r="P68" s="117">
        <v>3600</v>
      </c>
      <c r="Q68" s="117">
        <v>3380</v>
      </c>
      <c r="R68" s="2">
        <v>3880</v>
      </c>
      <c r="S68" s="117">
        <v>1680</v>
      </c>
      <c r="T68" s="1">
        <v>3940</v>
      </c>
      <c r="U68" s="1">
        <v>2460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>
        <v>1680</v>
      </c>
      <c r="N69" s="117">
        <v>1880</v>
      </c>
      <c r="O69" s="117">
        <v>4880</v>
      </c>
      <c r="P69" s="117">
        <v>3640</v>
      </c>
      <c r="Q69" s="117">
        <v>3600</v>
      </c>
      <c r="R69" s="117">
        <v>2900</v>
      </c>
      <c r="S69" s="117">
        <v>2480</v>
      </c>
      <c r="T69" s="1">
        <v>3400</v>
      </c>
      <c r="U69" s="117">
        <v>3100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>
        <v>1000</v>
      </c>
      <c r="N70" s="117">
        <v>1380</v>
      </c>
      <c r="O70" s="117">
        <v>5080</v>
      </c>
      <c r="P70" s="117">
        <v>3260</v>
      </c>
      <c r="Q70" s="117">
        <v>2840</v>
      </c>
      <c r="R70" s="1">
        <v>3280</v>
      </c>
      <c r="S70" s="1">
        <v>1940</v>
      </c>
      <c r="T70" s="1">
        <v>2000</v>
      </c>
      <c r="U70" s="1">
        <v>2660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>
        <v>860</v>
      </c>
      <c r="N71" s="95">
        <v>3800</v>
      </c>
      <c r="O71" s="95">
        <v>2300</v>
      </c>
      <c r="P71" s="95">
        <v>2760</v>
      </c>
      <c r="Q71" s="95">
        <v>2920</v>
      </c>
      <c r="R71" s="1">
        <v>2540</v>
      </c>
      <c r="S71" s="1">
        <v>2640</v>
      </c>
      <c r="T71" s="1">
        <v>2360</v>
      </c>
      <c r="U71" s="1">
        <v>2440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>
        <f t="shared" ref="M72:Q72" si="9">SUM(M60:M71)</f>
        <v>8900</v>
      </c>
      <c r="N72" s="96">
        <f t="shared" si="9"/>
        <v>24620</v>
      </c>
      <c r="O72" s="96">
        <f t="shared" si="9"/>
        <v>49920</v>
      </c>
      <c r="P72" s="96">
        <f t="shared" si="9"/>
        <v>44260</v>
      </c>
      <c r="Q72" s="96">
        <f t="shared" si="9"/>
        <v>38120</v>
      </c>
      <c r="R72" s="126">
        <f t="shared" ref="R72:S72" si="10">SUM(R60:R71)</f>
        <v>37580</v>
      </c>
      <c r="S72" s="126">
        <f t="shared" si="10"/>
        <v>34400</v>
      </c>
      <c r="T72" s="126">
        <f t="shared" ref="T72:U72" si="11">SUM(T60:T71)</f>
        <v>39000</v>
      </c>
      <c r="U72" s="126">
        <f t="shared" si="11"/>
        <v>29680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5.7109375" customWidth="1"/>
    <col min="7" max="7" width="6.7109375" bestFit="1" customWidth="1"/>
    <col min="8" max="12" width="5" bestFit="1" customWidth="1"/>
    <col min="13" max="13" width="10.7109375" bestFit="1" customWidth="1"/>
    <col min="14" max="21" width="11.7109375" bestFit="1" customWidth="1"/>
  </cols>
  <sheetData>
    <row r="1" spans="1:21" x14ac:dyDescent="0.2">
      <c r="A1" s="121" t="s">
        <v>168</v>
      </c>
    </row>
    <row r="2" spans="1:21" x14ac:dyDescent="0.2">
      <c r="A2" s="24" t="s">
        <v>84</v>
      </c>
      <c r="B2" s="6">
        <v>5.0000000000000001E-3</v>
      </c>
      <c r="D2" s="94" t="s">
        <v>191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1216347</v>
      </c>
      <c r="O5" s="117">
        <v>1224889</v>
      </c>
      <c r="P5" s="117">
        <v>1218691</v>
      </c>
      <c r="Q5" s="117">
        <v>1318469</v>
      </c>
      <c r="R5" s="1">
        <v>1357743</v>
      </c>
      <c r="S5" s="1">
        <v>1369223</v>
      </c>
      <c r="T5" s="1">
        <v>1522748</v>
      </c>
      <c r="U5" s="1">
        <v>1673642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883413</v>
      </c>
      <c r="O6" s="117">
        <v>917472</v>
      </c>
      <c r="P6" s="117">
        <v>934406</v>
      </c>
      <c r="Q6" s="117">
        <v>992795</v>
      </c>
      <c r="R6" s="1">
        <v>1038424</v>
      </c>
      <c r="S6" s="1">
        <v>1115268</v>
      </c>
      <c r="T6" s="1">
        <v>1221670</v>
      </c>
      <c r="U6" s="1">
        <v>1350648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887619</v>
      </c>
      <c r="O7" s="117">
        <v>855108</v>
      </c>
      <c r="P7" s="117">
        <v>851976</v>
      </c>
      <c r="Q7" s="117">
        <v>944794</v>
      </c>
      <c r="R7" s="1">
        <v>1014080</v>
      </c>
      <c r="S7" s="1">
        <v>1075714</v>
      </c>
      <c r="T7" s="1">
        <v>1189436</v>
      </c>
      <c r="U7" s="1">
        <v>1249517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66</v>
      </c>
      <c r="N8" s="117">
        <v>1012821</v>
      </c>
      <c r="O8" s="117">
        <v>992443</v>
      </c>
      <c r="P8" s="117">
        <v>1044158</v>
      </c>
      <c r="Q8" s="117">
        <v>1055284</v>
      </c>
      <c r="R8" s="1">
        <v>1033042</v>
      </c>
      <c r="S8" s="1">
        <v>1423224</v>
      </c>
      <c r="T8" s="1">
        <v>1468293</v>
      </c>
      <c r="U8" s="1">
        <v>1508514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907391</v>
      </c>
      <c r="N9" s="117">
        <v>988375</v>
      </c>
      <c r="O9" s="117">
        <v>967072</v>
      </c>
      <c r="P9" s="117">
        <v>950962</v>
      </c>
      <c r="Q9" s="117">
        <v>1087476</v>
      </c>
      <c r="R9" s="1">
        <v>947530</v>
      </c>
      <c r="S9" s="1">
        <v>1323629</v>
      </c>
      <c r="T9" s="1">
        <v>1307432</v>
      </c>
      <c r="U9" s="1">
        <v>1373263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1052231</v>
      </c>
      <c r="N10" s="117">
        <v>1106229</v>
      </c>
      <c r="O10" s="117">
        <v>1117780</v>
      </c>
      <c r="P10" s="117">
        <v>1174374</v>
      </c>
      <c r="Q10" s="117">
        <v>1232770</v>
      </c>
      <c r="R10" s="1">
        <v>1188179</v>
      </c>
      <c r="S10" s="1">
        <v>1468671</v>
      </c>
      <c r="T10" s="1">
        <v>1780104</v>
      </c>
      <c r="U10" s="1">
        <v>1703915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1047670</v>
      </c>
      <c r="N11" s="117">
        <v>1057312</v>
      </c>
      <c r="O11" s="117">
        <v>1141149</v>
      </c>
      <c r="P11" s="117">
        <v>1129942</v>
      </c>
      <c r="Q11" s="117">
        <v>1305627</v>
      </c>
      <c r="R11" s="1">
        <v>1262772</v>
      </c>
      <c r="S11" s="1">
        <v>1629167</v>
      </c>
      <c r="T11" s="1">
        <v>1780249</v>
      </c>
      <c r="U11" s="1">
        <v>1942044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1385227</v>
      </c>
      <c r="N12" s="117">
        <v>1395042</v>
      </c>
      <c r="O12" s="117">
        <v>1370165</v>
      </c>
      <c r="P12" s="117">
        <v>1451396</v>
      </c>
      <c r="Q12" s="117">
        <v>1487930</v>
      </c>
      <c r="R12" s="1">
        <v>1576199</v>
      </c>
      <c r="S12" s="1">
        <v>1720306</v>
      </c>
      <c r="T12" s="1">
        <v>1724213</v>
      </c>
      <c r="U12" s="1">
        <v>1821543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1198545</v>
      </c>
      <c r="N13" s="117">
        <v>1247935</v>
      </c>
      <c r="O13" s="117">
        <v>1267536</v>
      </c>
      <c r="P13" s="117">
        <v>1317555</v>
      </c>
      <c r="Q13" s="117">
        <v>1426914</v>
      </c>
      <c r="R13" s="2">
        <v>1400457</v>
      </c>
      <c r="S13" s="1">
        <v>1597053</v>
      </c>
      <c r="T13" s="1">
        <v>1793211</v>
      </c>
      <c r="U13" s="1">
        <v>1855954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1194367</v>
      </c>
      <c r="N14" s="117">
        <v>1205218</v>
      </c>
      <c r="O14" s="117">
        <v>1253280</v>
      </c>
      <c r="P14" s="117">
        <v>1243381</v>
      </c>
      <c r="Q14" s="117">
        <v>1331675</v>
      </c>
      <c r="R14" s="1">
        <v>1400494</v>
      </c>
      <c r="S14" s="1">
        <v>1696049</v>
      </c>
      <c r="T14" s="1">
        <v>1741438</v>
      </c>
      <c r="U14" s="1">
        <v>1787850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1136988</v>
      </c>
      <c r="N15" s="117">
        <v>1115836</v>
      </c>
      <c r="O15" s="117">
        <v>1123317</v>
      </c>
      <c r="P15" s="117">
        <v>1193283</v>
      </c>
      <c r="Q15" s="117">
        <v>1265054</v>
      </c>
      <c r="R15" s="1">
        <v>1280514</v>
      </c>
      <c r="S15" s="1">
        <v>1474047</v>
      </c>
      <c r="T15" s="1">
        <v>1591932</v>
      </c>
      <c r="U15" s="1">
        <v>1663803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991372</v>
      </c>
      <c r="N16" s="95">
        <v>1029275</v>
      </c>
      <c r="O16" s="95">
        <v>1049517</v>
      </c>
      <c r="P16" s="95">
        <v>1125776</v>
      </c>
      <c r="Q16" s="95">
        <v>1130183</v>
      </c>
      <c r="R16" s="1">
        <v>1177654</v>
      </c>
      <c r="S16" s="1">
        <v>1322341</v>
      </c>
      <c r="T16" s="1">
        <v>1644507</v>
      </c>
      <c r="U16" s="1">
        <v>1497089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Q17" si="0">SUM(M5:M16)</f>
        <v>8913857</v>
      </c>
      <c r="N17" s="96">
        <f t="shared" si="0"/>
        <v>13145422</v>
      </c>
      <c r="O17" s="96">
        <f t="shared" si="0"/>
        <v>13279728</v>
      </c>
      <c r="P17" s="96">
        <f t="shared" si="0"/>
        <v>13635900</v>
      </c>
      <c r="Q17" s="96">
        <f t="shared" si="0"/>
        <v>14578971</v>
      </c>
      <c r="R17" s="126">
        <f t="shared" ref="R17:S17" si="1">SUM(R5:R16)</f>
        <v>14677088</v>
      </c>
      <c r="S17" s="126">
        <f t="shared" si="1"/>
        <v>17214692</v>
      </c>
      <c r="T17" s="126">
        <f t="shared" ref="T17:U17" si="2">SUM(T5:T16)</f>
        <v>18765233</v>
      </c>
      <c r="U17" s="126">
        <f t="shared" si="2"/>
        <v>19427782</v>
      </c>
    </row>
    <row r="18" spans="1:21" x14ac:dyDescent="0.2">
      <c r="A18" s="25"/>
      <c r="B18" s="4"/>
      <c r="F18" s="2"/>
      <c r="H18" s="2"/>
      <c r="L18" s="94"/>
      <c r="N18" s="176"/>
      <c r="O18" s="176"/>
      <c r="P18" s="176"/>
      <c r="Q18" s="176"/>
      <c r="R18" s="176"/>
      <c r="S18" s="176"/>
      <c r="U18" s="176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191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94053</v>
      </c>
      <c r="O24" s="117">
        <v>125315</v>
      </c>
      <c r="P24" s="117">
        <v>121920</v>
      </c>
      <c r="Q24" s="117">
        <v>131984</v>
      </c>
      <c r="R24" s="1">
        <v>114170</v>
      </c>
      <c r="S24" s="1">
        <v>133962</v>
      </c>
      <c r="T24" s="1">
        <v>100136</v>
      </c>
      <c r="U24" s="1">
        <v>202591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77947</v>
      </c>
      <c r="O25" s="117">
        <v>101093</v>
      </c>
      <c r="P25" s="117">
        <v>97949</v>
      </c>
      <c r="Q25" s="117">
        <v>100601</v>
      </c>
      <c r="R25" s="1">
        <v>105282</v>
      </c>
      <c r="S25" s="1">
        <v>76409</v>
      </c>
      <c r="T25" s="1">
        <v>107461</v>
      </c>
      <c r="U25" s="1">
        <v>116187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119824</v>
      </c>
      <c r="O26" s="117">
        <v>75788</v>
      </c>
      <c r="P26" s="117">
        <v>103831</v>
      </c>
      <c r="Q26" s="117">
        <v>90960</v>
      </c>
      <c r="R26" s="1">
        <v>118710</v>
      </c>
      <c r="S26" s="1">
        <v>96671</v>
      </c>
      <c r="T26" s="1">
        <v>50695</v>
      </c>
      <c r="U26" s="1">
        <v>125054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218</v>
      </c>
      <c r="N27" s="117">
        <v>75050</v>
      </c>
      <c r="O27" s="117">
        <v>85339</v>
      </c>
      <c r="P27" s="117">
        <v>97321</v>
      </c>
      <c r="Q27" s="117">
        <v>92736</v>
      </c>
      <c r="R27" s="1">
        <v>118052</v>
      </c>
      <c r="S27" s="1">
        <v>115345</v>
      </c>
      <c r="T27" s="1">
        <v>136026</v>
      </c>
      <c r="U27" s="1">
        <v>169805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172955</v>
      </c>
      <c r="N28" s="117">
        <v>72495</v>
      </c>
      <c r="O28" s="117">
        <v>77460</v>
      </c>
      <c r="P28" s="117">
        <v>104247</v>
      </c>
      <c r="Q28" s="117">
        <v>107336</v>
      </c>
      <c r="R28" s="1">
        <v>137588</v>
      </c>
      <c r="S28" s="1">
        <v>98205</v>
      </c>
      <c r="T28" s="1">
        <v>123183</v>
      </c>
      <c r="U28" s="1">
        <v>140519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247629</v>
      </c>
      <c r="N29" s="117">
        <v>75552</v>
      </c>
      <c r="O29" s="117">
        <v>94002</v>
      </c>
      <c r="P29" s="117">
        <v>79616</v>
      </c>
      <c r="Q29" s="117">
        <v>102593</v>
      </c>
      <c r="R29" s="1">
        <v>111363</v>
      </c>
      <c r="S29" s="1">
        <v>110681</v>
      </c>
      <c r="T29" s="1">
        <v>119005</v>
      </c>
      <c r="U29" s="1">
        <v>137665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144984</v>
      </c>
      <c r="N30" s="117">
        <v>85290</v>
      </c>
      <c r="O30" s="117">
        <v>80993</v>
      </c>
      <c r="P30" s="117">
        <v>95164</v>
      </c>
      <c r="Q30" s="117">
        <v>109018</v>
      </c>
      <c r="R30" s="1">
        <v>131457</v>
      </c>
      <c r="S30" s="1">
        <v>121951</v>
      </c>
      <c r="T30" s="1">
        <v>150015</v>
      </c>
      <c r="U30" s="1">
        <v>156205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184853</v>
      </c>
      <c r="N31" s="117">
        <v>97003</v>
      </c>
      <c r="O31" s="117">
        <v>117046</v>
      </c>
      <c r="P31" s="117">
        <v>136733</v>
      </c>
      <c r="Q31" s="117">
        <v>141151</v>
      </c>
      <c r="R31" s="1">
        <v>178551</v>
      </c>
      <c r="S31" s="1">
        <v>122521</v>
      </c>
      <c r="T31" s="1">
        <v>150939</v>
      </c>
      <c r="U31" s="1">
        <v>159781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105856</v>
      </c>
      <c r="N32" s="117">
        <v>92164</v>
      </c>
      <c r="O32" s="117">
        <v>113936</v>
      </c>
      <c r="P32" s="117">
        <v>103198</v>
      </c>
      <c r="Q32" s="117">
        <v>134855</v>
      </c>
      <c r="R32" s="2">
        <v>104623</v>
      </c>
      <c r="S32" s="1">
        <v>181350</v>
      </c>
      <c r="T32" s="1">
        <v>161577</v>
      </c>
      <c r="U32" s="1">
        <v>185345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96076</v>
      </c>
      <c r="N33" s="117">
        <v>97765</v>
      </c>
      <c r="O33" s="117">
        <v>112363</v>
      </c>
      <c r="P33" s="117">
        <v>110834</v>
      </c>
      <c r="Q33" s="117">
        <v>120583</v>
      </c>
      <c r="R33" s="1">
        <v>109607</v>
      </c>
      <c r="S33" s="1">
        <v>100888</v>
      </c>
      <c r="T33" s="1">
        <v>23106</v>
      </c>
      <c r="U33" s="1">
        <v>167433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97714</v>
      </c>
      <c r="N34" s="117">
        <v>85668</v>
      </c>
      <c r="O34" s="117">
        <v>111407</v>
      </c>
      <c r="P34" s="117">
        <v>113080</v>
      </c>
      <c r="Q34" s="117">
        <v>120210</v>
      </c>
      <c r="R34" s="1">
        <v>92483</v>
      </c>
      <c r="S34" s="1">
        <v>64236</v>
      </c>
      <c r="T34" s="1">
        <v>141717</v>
      </c>
      <c r="U34" s="1">
        <v>172369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81808</v>
      </c>
      <c r="N35" s="95">
        <v>80231</v>
      </c>
      <c r="O35" s="95">
        <v>86759</v>
      </c>
      <c r="P35" s="95">
        <v>116343</v>
      </c>
      <c r="Q35" s="95">
        <v>104005</v>
      </c>
      <c r="R35" s="1">
        <v>105495</v>
      </c>
      <c r="S35" s="1">
        <v>124646</v>
      </c>
      <c r="T35" s="1">
        <v>123472</v>
      </c>
      <c r="U35" s="1">
        <v>136006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Q36" si="3">SUM(M24:M35)</f>
        <v>1132093</v>
      </c>
      <c r="N36" s="96">
        <f t="shared" si="3"/>
        <v>1053042</v>
      </c>
      <c r="O36" s="96">
        <f t="shared" si="3"/>
        <v>1181501</v>
      </c>
      <c r="P36" s="96">
        <f t="shared" si="3"/>
        <v>1280236</v>
      </c>
      <c r="Q36" s="96">
        <f t="shared" si="3"/>
        <v>1356032</v>
      </c>
      <c r="R36" s="126">
        <f t="shared" ref="R36:S36" si="4">SUM(R24:R35)</f>
        <v>1427381</v>
      </c>
      <c r="S36" s="126">
        <f t="shared" si="4"/>
        <v>1346865</v>
      </c>
      <c r="T36" s="126">
        <f t="shared" ref="T36:U36" si="5">SUM(T24:T35)</f>
        <v>1387332</v>
      </c>
      <c r="U36" s="126">
        <f t="shared" si="5"/>
        <v>1868960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F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-828</v>
      </c>
      <c r="O42" s="117">
        <v>-1865</v>
      </c>
      <c r="P42" s="117">
        <v>-1384</v>
      </c>
      <c r="Q42" s="117">
        <v>-2160</v>
      </c>
      <c r="R42" s="1">
        <v>-17256</v>
      </c>
      <c r="S42" s="1">
        <v>-338</v>
      </c>
      <c r="T42" s="1">
        <v>-1388</v>
      </c>
      <c r="U42" s="1">
        <v>-1392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-12272</v>
      </c>
      <c r="O43" s="117">
        <v>-625</v>
      </c>
      <c r="P43" s="117">
        <v>-3188</v>
      </c>
      <c r="Q43" s="117">
        <v>-7069</v>
      </c>
      <c r="R43" s="1">
        <v>-1051</v>
      </c>
      <c r="S43" s="117">
        <v>-496</v>
      </c>
      <c r="T43" s="1">
        <v>-5222</v>
      </c>
      <c r="U43" s="117">
        <v>-393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-621</v>
      </c>
      <c r="O44" s="117">
        <v>-246</v>
      </c>
      <c r="P44" s="117">
        <v>-25437</v>
      </c>
      <c r="Q44" s="117">
        <v>-3594</v>
      </c>
      <c r="R44" s="1">
        <v>-2673</v>
      </c>
      <c r="S44" s="1">
        <v>-4367</v>
      </c>
      <c r="T44" s="1">
        <v>-3292</v>
      </c>
      <c r="U44" s="1">
        <v>-5658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>
        <v>0</v>
      </c>
      <c r="N45" s="117">
        <v>-84478</v>
      </c>
      <c r="O45" s="117">
        <v>-504</v>
      </c>
      <c r="P45" s="117">
        <v>-607</v>
      </c>
      <c r="Q45" s="117">
        <v>-6964</v>
      </c>
      <c r="R45" s="1">
        <v>-7070</v>
      </c>
      <c r="S45" s="1">
        <v>-2151</v>
      </c>
      <c r="T45" s="1">
        <v>-52</v>
      </c>
      <c r="U45" s="1">
        <v>-1142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0</v>
      </c>
      <c r="N46" s="117">
        <v>-15522</v>
      </c>
      <c r="O46" s="117">
        <v>-1358</v>
      </c>
      <c r="P46" s="117">
        <v>0</v>
      </c>
      <c r="Q46" s="117">
        <v>-6796</v>
      </c>
      <c r="R46" s="1">
        <v>-9463</v>
      </c>
      <c r="S46" s="1">
        <v>-7678</v>
      </c>
      <c r="T46" s="1">
        <v>-2876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0</v>
      </c>
      <c r="N47" s="117">
        <v>-79906</v>
      </c>
      <c r="O47" s="117">
        <v>-1092</v>
      </c>
      <c r="P47" s="117">
        <v>-63019</v>
      </c>
      <c r="Q47" s="117">
        <v>-5196</v>
      </c>
      <c r="R47" s="1">
        <v>-2744</v>
      </c>
      <c r="S47" s="117">
        <v>-49</v>
      </c>
      <c r="T47" s="1">
        <v>-469</v>
      </c>
      <c r="U47" s="1">
        <v>-11928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-8826</v>
      </c>
      <c r="O48" s="117">
        <v>-218</v>
      </c>
      <c r="P48" s="117">
        <v>-23910</v>
      </c>
      <c r="Q48" s="117">
        <v>-1933</v>
      </c>
      <c r="R48" s="1">
        <v>-7780</v>
      </c>
      <c r="S48" s="117">
        <v>-79</v>
      </c>
      <c r="T48" s="1">
        <v>-6239</v>
      </c>
      <c r="U48" s="117">
        <v>-730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-1082</v>
      </c>
      <c r="N49" s="117">
        <v>-291</v>
      </c>
      <c r="O49" s="117">
        <v>-15</v>
      </c>
      <c r="P49" s="117">
        <v>-180</v>
      </c>
      <c r="Q49" s="117">
        <v>-86</v>
      </c>
      <c r="R49" s="1">
        <v>-27585</v>
      </c>
      <c r="S49" s="117">
        <v>-382</v>
      </c>
      <c r="T49" s="1">
        <v>-10916</v>
      </c>
      <c r="U49" s="1">
        <v>-3694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-29678</v>
      </c>
      <c r="N50" s="117">
        <v>-13</v>
      </c>
      <c r="O50" s="117">
        <v>-591</v>
      </c>
      <c r="P50" s="117">
        <v>-294</v>
      </c>
      <c r="Q50" s="117">
        <v>-15147</v>
      </c>
      <c r="R50" s="117">
        <v>-32</v>
      </c>
      <c r="S50" s="117">
        <v>0</v>
      </c>
      <c r="T50" s="1">
        <v>-2954</v>
      </c>
      <c r="U50" s="1">
        <v>-3991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-63399</v>
      </c>
      <c r="O51" s="117">
        <v>-263</v>
      </c>
      <c r="P51" s="117">
        <v>-211</v>
      </c>
      <c r="Q51" s="117">
        <v>-1529</v>
      </c>
      <c r="R51" s="117">
        <v>-1</v>
      </c>
      <c r="S51" s="117">
        <v>-393</v>
      </c>
      <c r="T51" s="1">
        <v>-223</v>
      </c>
      <c r="U51" s="1">
        <v>-1182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-2976</v>
      </c>
      <c r="N52" s="117">
        <v>-9571</v>
      </c>
      <c r="O52" s="117">
        <v>-484</v>
      </c>
      <c r="P52" s="117">
        <v>-3202</v>
      </c>
      <c r="Q52" s="117">
        <v>-287</v>
      </c>
      <c r="R52" s="1">
        <v>-332</v>
      </c>
      <c r="S52" s="1">
        <v>-53815</v>
      </c>
      <c r="T52" s="1">
        <v>-2491</v>
      </c>
      <c r="U52" s="1">
        <v>-193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>
        <v>-53276</v>
      </c>
      <c r="N53" s="95">
        <v>-43313</v>
      </c>
      <c r="O53" s="95">
        <v>-173</v>
      </c>
      <c r="P53" s="95">
        <v>-2</v>
      </c>
      <c r="Q53" s="95">
        <v>-5108</v>
      </c>
      <c r="R53" s="1">
        <v>-404</v>
      </c>
      <c r="S53" s="1">
        <v>-11422</v>
      </c>
      <c r="T53" s="1">
        <v>-10781</v>
      </c>
      <c r="U53" s="1">
        <v>-2496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Q54" si="6">SUM(M42:M53)</f>
        <v>-87012</v>
      </c>
      <c r="N54" s="96">
        <f t="shared" si="6"/>
        <v>-319040</v>
      </c>
      <c r="O54" s="96">
        <f t="shared" si="6"/>
        <v>-7434</v>
      </c>
      <c r="P54" s="96">
        <f t="shared" si="6"/>
        <v>-121434</v>
      </c>
      <c r="Q54" s="96">
        <f t="shared" si="6"/>
        <v>-55869</v>
      </c>
      <c r="R54" s="126">
        <f t="shared" ref="R54:S54" si="7">SUM(R42:R53)</f>
        <v>-76391</v>
      </c>
      <c r="S54" s="126">
        <f t="shared" si="7"/>
        <v>-81170</v>
      </c>
      <c r="T54" s="126">
        <f t="shared" ref="T54:U54" si="8">SUM(T42:T53)</f>
        <v>-46903</v>
      </c>
      <c r="U54" s="126">
        <f t="shared" si="8"/>
        <v>-32799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191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>
        <v>29920</v>
      </c>
      <c r="O60" s="117">
        <v>37320</v>
      </c>
      <c r="P60" s="117">
        <v>26440</v>
      </c>
      <c r="Q60" s="117">
        <v>32680</v>
      </c>
      <c r="R60" s="117">
        <v>42680</v>
      </c>
      <c r="S60" s="1">
        <v>34160</v>
      </c>
      <c r="T60" s="1">
        <v>29960</v>
      </c>
      <c r="U60" s="1">
        <v>25480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>
        <v>18460</v>
      </c>
      <c r="O61" s="117">
        <v>21900</v>
      </c>
      <c r="P61" s="117">
        <v>28640</v>
      </c>
      <c r="Q61" s="117">
        <v>26440</v>
      </c>
      <c r="R61" s="113">
        <v>36540</v>
      </c>
      <c r="S61" s="1">
        <v>40360</v>
      </c>
      <c r="T61" s="1">
        <v>29340</v>
      </c>
      <c r="U61" s="1">
        <v>6440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>
        <v>22500</v>
      </c>
      <c r="O62" s="117">
        <v>24520</v>
      </c>
      <c r="P62" s="117">
        <v>27500</v>
      </c>
      <c r="Q62" s="117">
        <v>33260</v>
      </c>
      <c r="R62" s="113">
        <v>36360</v>
      </c>
      <c r="S62" s="1">
        <v>30660</v>
      </c>
      <c r="T62" s="1">
        <v>31480</v>
      </c>
      <c r="U62" s="1">
        <v>24280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>
        <v>0</v>
      </c>
      <c r="N63" s="117">
        <v>27640</v>
      </c>
      <c r="O63" s="117">
        <v>30900</v>
      </c>
      <c r="P63" s="117">
        <v>39780</v>
      </c>
      <c r="Q63" s="117">
        <v>39440</v>
      </c>
      <c r="R63" s="117">
        <v>32060</v>
      </c>
      <c r="S63" s="1">
        <v>47140</v>
      </c>
      <c r="T63" s="1">
        <v>34340</v>
      </c>
      <c r="U63" s="1">
        <v>31120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>
        <v>26320</v>
      </c>
      <c r="N64" s="117">
        <v>28020</v>
      </c>
      <c r="O64" s="117">
        <v>27200</v>
      </c>
      <c r="P64" s="117">
        <v>34280</v>
      </c>
      <c r="Q64" s="117">
        <v>36780</v>
      </c>
      <c r="R64" s="117">
        <v>25660</v>
      </c>
      <c r="S64" s="1">
        <v>39520</v>
      </c>
      <c r="T64" s="1">
        <v>25360</v>
      </c>
      <c r="U64" s="1">
        <v>28080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3"/>
      <c r="M65" s="117">
        <v>25040</v>
      </c>
      <c r="N65" s="117">
        <v>26380</v>
      </c>
      <c r="O65" s="117">
        <v>29340</v>
      </c>
      <c r="P65" s="117">
        <v>35640</v>
      </c>
      <c r="Q65" s="117">
        <v>40380</v>
      </c>
      <c r="R65" s="117">
        <v>-5300</v>
      </c>
      <c r="S65" s="1">
        <v>37400</v>
      </c>
      <c r="T65" s="1">
        <v>31600</v>
      </c>
      <c r="U65" s="1">
        <v>32000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>
        <v>29820</v>
      </c>
      <c r="N66" s="117">
        <v>25920</v>
      </c>
      <c r="O66" s="117">
        <v>32580</v>
      </c>
      <c r="P66" s="117">
        <v>35900</v>
      </c>
      <c r="Q66" s="117">
        <v>41080</v>
      </c>
      <c r="R66" s="1">
        <v>46200</v>
      </c>
      <c r="S66" s="1">
        <v>38980</v>
      </c>
      <c r="T66" s="1">
        <v>34860</v>
      </c>
      <c r="U66" s="1">
        <v>34420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>
        <v>28140</v>
      </c>
      <c r="N67" s="117">
        <v>29120</v>
      </c>
      <c r="O67" s="117">
        <v>29320</v>
      </c>
      <c r="P67" s="117">
        <v>38120</v>
      </c>
      <c r="Q67" s="117">
        <v>39000</v>
      </c>
      <c r="R67" s="1">
        <v>44080</v>
      </c>
      <c r="S67" s="1">
        <v>32640</v>
      </c>
      <c r="T67" s="1">
        <v>32040</v>
      </c>
      <c r="U67" s="1">
        <v>29000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>
        <v>27740</v>
      </c>
      <c r="N68" s="117">
        <v>31540</v>
      </c>
      <c r="O68" s="117">
        <v>32300</v>
      </c>
      <c r="P68" s="117">
        <v>38500</v>
      </c>
      <c r="Q68" s="117">
        <v>44660</v>
      </c>
      <c r="R68" s="107">
        <v>36620</v>
      </c>
      <c r="S68" s="1">
        <v>35280</v>
      </c>
      <c r="T68" s="1">
        <v>31580</v>
      </c>
      <c r="U68" s="1">
        <v>32580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>
        <v>28480</v>
      </c>
      <c r="N69" s="117">
        <v>28420</v>
      </c>
      <c r="O69" s="117">
        <v>33000</v>
      </c>
      <c r="P69" s="117">
        <v>35400</v>
      </c>
      <c r="Q69" s="117">
        <v>43520</v>
      </c>
      <c r="R69" s="1">
        <v>38440</v>
      </c>
      <c r="S69" s="1">
        <v>33880</v>
      </c>
      <c r="T69" s="1">
        <v>30880</v>
      </c>
      <c r="U69" s="1">
        <v>31020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>
        <v>23960</v>
      </c>
      <c r="N70" s="117">
        <v>24280</v>
      </c>
      <c r="O70" s="117">
        <v>26240</v>
      </c>
      <c r="P70" s="117">
        <v>33940</v>
      </c>
      <c r="Q70" s="117">
        <v>39200</v>
      </c>
      <c r="R70" s="1">
        <v>31580</v>
      </c>
      <c r="S70" s="1">
        <v>27180</v>
      </c>
      <c r="T70" s="1">
        <v>27800</v>
      </c>
      <c r="U70" s="1">
        <v>28740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>
        <v>20140</v>
      </c>
      <c r="N71" s="95">
        <v>21320</v>
      </c>
      <c r="O71" s="95">
        <v>26840</v>
      </c>
      <c r="P71" s="95">
        <v>34380</v>
      </c>
      <c r="Q71" s="95">
        <v>38540</v>
      </c>
      <c r="R71" s="1">
        <v>25840</v>
      </c>
      <c r="S71" s="1">
        <v>21020</v>
      </c>
      <c r="T71" s="1">
        <v>23760</v>
      </c>
      <c r="U71" s="1">
        <v>31360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>
        <f t="shared" ref="M72:Q72" si="9">SUM(M60:M71)</f>
        <v>209640</v>
      </c>
      <c r="N72" s="96">
        <f t="shared" si="9"/>
        <v>313520</v>
      </c>
      <c r="O72" s="96">
        <f t="shared" si="9"/>
        <v>351460</v>
      </c>
      <c r="P72" s="96">
        <f t="shared" si="9"/>
        <v>408520</v>
      </c>
      <c r="Q72" s="96">
        <f t="shared" si="9"/>
        <v>454980</v>
      </c>
      <c r="R72" s="126">
        <f t="shared" ref="R72:S72" si="10">SUM(R60:R71)</f>
        <v>390760</v>
      </c>
      <c r="S72" s="126">
        <f t="shared" si="10"/>
        <v>418220</v>
      </c>
      <c r="T72" s="126">
        <f t="shared" ref="T72:U72" si="11">SUM(T60:T71)</f>
        <v>363000</v>
      </c>
      <c r="U72" s="126">
        <f t="shared" si="11"/>
        <v>334520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.5703125" bestFit="1" customWidth="1"/>
    <col min="5" max="5" width="5.5703125" bestFit="1" customWidth="1"/>
    <col min="6" max="6" width="5.5703125" customWidth="1"/>
    <col min="7" max="7" width="5.7109375" bestFit="1" customWidth="1"/>
    <col min="8" max="12" width="5" bestFit="1" customWidth="1"/>
    <col min="13" max="16" width="10.7109375" bestFit="1" customWidth="1"/>
    <col min="17" max="17" width="10.28515625" bestFit="1" customWidth="1"/>
    <col min="18" max="18" width="10.7109375" bestFit="1" customWidth="1"/>
    <col min="19" max="19" width="10.42578125" bestFit="1" customWidth="1"/>
    <col min="20" max="20" width="10.7109375" bestFit="1" customWidth="1"/>
    <col min="21" max="21" width="10.28515625" bestFit="1" customWidth="1"/>
  </cols>
  <sheetData>
    <row r="1" spans="1:21" x14ac:dyDescent="0.2">
      <c r="A1" s="121" t="s">
        <v>169</v>
      </c>
    </row>
    <row r="2" spans="1:21" x14ac:dyDescent="0.2">
      <c r="A2" s="24" t="s">
        <v>84</v>
      </c>
      <c r="B2" s="6">
        <v>5.0000000000000001E-3</v>
      </c>
      <c r="D2" s="94" t="s">
        <v>191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229709</v>
      </c>
      <c r="O5" s="117">
        <v>247516</v>
      </c>
      <c r="P5" s="117">
        <v>252371</v>
      </c>
      <c r="Q5" s="117">
        <v>272379</v>
      </c>
      <c r="R5" s="1">
        <v>281675</v>
      </c>
      <c r="S5" s="1">
        <v>317921</v>
      </c>
      <c r="T5" s="1">
        <v>323120</v>
      </c>
      <c r="U5" s="1">
        <v>337088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160272</v>
      </c>
      <c r="O6" s="117">
        <v>186475</v>
      </c>
      <c r="P6" s="117">
        <v>181430</v>
      </c>
      <c r="Q6" s="117">
        <v>203750</v>
      </c>
      <c r="R6" s="1">
        <v>208046</v>
      </c>
      <c r="S6" s="1">
        <v>233482</v>
      </c>
      <c r="T6" s="1">
        <v>243074</v>
      </c>
      <c r="U6" s="1">
        <v>263675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158086</v>
      </c>
      <c r="O7" s="117">
        <v>170156</v>
      </c>
      <c r="P7" s="117">
        <v>164862</v>
      </c>
      <c r="Q7" s="117">
        <v>186658</v>
      </c>
      <c r="R7" s="1">
        <v>196835</v>
      </c>
      <c r="S7" s="1">
        <v>220395</v>
      </c>
      <c r="T7" s="1">
        <v>238754</v>
      </c>
      <c r="U7" s="1">
        <v>252111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>
        <v>79</v>
      </c>
      <c r="N8" s="117">
        <v>196539</v>
      </c>
      <c r="O8" s="117">
        <v>214627</v>
      </c>
      <c r="P8" s="117">
        <v>205765</v>
      </c>
      <c r="Q8" s="117">
        <v>234162</v>
      </c>
      <c r="R8" s="1">
        <v>237750</v>
      </c>
      <c r="S8" s="1">
        <v>301919</v>
      </c>
      <c r="T8" s="1">
        <v>302075</v>
      </c>
      <c r="U8" s="1">
        <v>336589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>
        <v>148865</v>
      </c>
      <c r="N9" s="117">
        <v>178356</v>
      </c>
      <c r="O9" s="117">
        <v>204167</v>
      </c>
      <c r="P9" s="117">
        <v>213922</v>
      </c>
      <c r="Q9" s="117">
        <v>210491</v>
      </c>
      <c r="R9" s="1">
        <v>215432</v>
      </c>
      <c r="S9" s="1">
        <v>258224</v>
      </c>
      <c r="T9" s="1">
        <v>271179</v>
      </c>
      <c r="U9" s="1">
        <v>280915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>
        <v>182488</v>
      </c>
      <c r="N10" s="117">
        <v>193032</v>
      </c>
      <c r="O10" s="117">
        <v>220627</v>
      </c>
      <c r="P10" s="117">
        <v>226533</v>
      </c>
      <c r="Q10" s="117">
        <v>272053</v>
      </c>
      <c r="R10" s="1">
        <v>271136</v>
      </c>
      <c r="S10" s="1">
        <v>292267</v>
      </c>
      <c r="T10" s="1">
        <v>325276</v>
      </c>
      <c r="U10" s="1">
        <v>329225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207356</v>
      </c>
      <c r="N11" s="117">
        <v>227346</v>
      </c>
      <c r="O11" s="117">
        <v>236209</v>
      </c>
      <c r="P11" s="117">
        <v>224072</v>
      </c>
      <c r="Q11" s="117">
        <v>279283</v>
      </c>
      <c r="R11" s="1">
        <v>284399</v>
      </c>
      <c r="S11" s="1">
        <v>295562</v>
      </c>
      <c r="T11" s="1">
        <v>333994</v>
      </c>
      <c r="U11" s="1">
        <v>374662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203081</v>
      </c>
      <c r="N12" s="117">
        <v>220046</v>
      </c>
      <c r="O12" s="117">
        <v>243655</v>
      </c>
      <c r="P12" s="117">
        <v>260125</v>
      </c>
      <c r="Q12" s="117">
        <v>254366</v>
      </c>
      <c r="R12" s="1">
        <v>301447</v>
      </c>
      <c r="S12" s="1">
        <v>281366</v>
      </c>
      <c r="T12" s="1">
        <v>287054</v>
      </c>
      <c r="U12" s="1">
        <v>308557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186461</v>
      </c>
      <c r="N13" s="117">
        <v>199876</v>
      </c>
      <c r="O13" s="117">
        <v>225172</v>
      </c>
      <c r="P13" s="117">
        <v>227305</v>
      </c>
      <c r="Q13" s="117">
        <v>254595</v>
      </c>
      <c r="R13" s="2">
        <v>254942</v>
      </c>
      <c r="S13" s="1">
        <v>261833</v>
      </c>
      <c r="T13" s="1">
        <v>298180</v>
      </c>
      <c r="U13" s="1">
        <v>311584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198629</v>
      </c>
      <c r="N14" s="117">
        <v>235128</v>
      </c>
      <c r="O14" s="117">
        <v>235996</v>
      </c>
      <c r="P14" s="117">
        <v>215406</v>
      </c>
      <c r="Q14" s="117">
        <v>264514</v>
      </c>
      <c r="R14" s="1">
        <v>281525</v>
      </c>
      <c r="S14" s="1">
        <v>297877</v>
      </c>
      <c r="T14" s="1">
        <v>311043</v>
      </c>
      <c r="U14" s="1">
        <v>322182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179994</v>
      </c>
      <c r="N15" s="117">
        <v>208473</v>
      </c>
      <c r="O15" s="117">
        <v>201923</v>
      </c>
      <c r="P15" s="117">
        <v>218501</v>
      </c>
      <c r="Q15" s="117">
        <v>238250</v>
      </c>
      <c r="R15" s="1">
        <v>238253</v>
      </c>
      <c r="S15" s="1">
        <v>261739</v>
      </c>
      <c r="T15" s="1">
        <v>287857</v>
      </c>
      <c r="U15" s="1">
        <v>279045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175708</v>
      </c>
      <c r="N16" s="95">
        <v>210269</v>
      </c>
      <c r="O16" s="95">
        <v>207508</v>
      </c>
      <c r="P16" s="95">
        <v>239770</v>
      </c>
      <c r="Q16" s="95">
        <v>236782</v>
      </c>
      <c r="R16" s="1">
        <v>257340</v>
      </c>
      <c r="S16" s="1">
        <v>286440</v>
      </c>
      <c r="T16" s="1">
        <v>345985</v>
      </c>
      <c r="U16" s="1">
        <v>330811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R17" si="0">SUM(M5:M16)</f>
        <v>1482661</v>
      </c>
      <c r="N17" s="96">
        <f t="shared" si="0"/>
        <v>2417132</v>
      </c>
      <c r="O17" s="96">
        <f t="shared" si="0"/>
        <v>2594031</v>
      </c>
      <c r="P17" s="107">
        <f t="shared" si="0"/>
        <v>2630062</v>
      </c>
      <c r="Q17" s="107">
        <f t="shared" si="0"/>
        <v>2907283</v>
      </c>
      <c r="R17" s="126">
        <f t="shared" si="0"/>
        <v>3028780</v>
      </c>
      <c r="S17" s="184">
        <f t="shared" ref="S17:U17" si="1">SUM(S5:S16)</f>
        <v>3309025</v>
      </c>
      <c r="T17" s="126">
        <f t="shared" ref="T17" si="2">SUM(T5:T16)</f>
        <v>3567591</v>
      </c>
      <c r="U17" s="184">
        <f t="shared" si="1"/>
        <v>3726444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191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14854</v>
      </c>
      <c r="O24" s="117">
        <v>12654</v>
      </c>
      <c r="P24" s="117">
        <v>14176</v>
      </c>
      <c r="Q24" s="117">
        <v>16069</v>
      </c>
      <c r="R24" s="1">
        <v>13571</v>
      </c>
      <c r="S24" s="1">
        <v>15392</v>
      </c>
      <c r="T24" s="1">
        <v>18556</v>
      </c>
      <c r="U24" s="1">
        <v>11012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9329</v>
      </c>
      <c r="O25" s="117">
        <v>8194</v>
      </c>
      <c r="P25" s="117">
        <v>9590</v>
      </c>
      <c r="Q25" s="117">
        <v>11422</v>
      </c>
      <c r="R25" s="1">
        <v>10580</v>
      </c>
      <c r="S25" s="1">
        <v>14788</v>
      </c>
      <c r="T25" s="1">
        <v>15142</v>
      </c>
      <c r="U25" s="1">
        <v>15559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7623</v>
      </c>
      <c r="O26" s="117">
        <v>8497</v>
      </c>
      <c r="P26" s="117">
        <v>11121</v>
      </c>
      <c r="Q26" s="117">
        <v>14558</v>
      </c>
      <c r="R26" s="113">
        <v>5847</v>
      </c>
      <c r="S26" s="1">
        <v>7660</v>
      </c>
      <c r="T26" s="1">
        <v>11419</v>
      </c>
      <c r="U26" s="1">
        <v>14121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>
        <v>0</v>
      </c>
      <c r="N27" s="117">
        <v>9365</v>
      </c>
      <c r="O27" s="117">
        <v>13313</v>
      </c>
      <c r="P27" s="117">
        <v>12115</v>
      </c>
      <c r="Q27" s="117">
        <v>29309</v>
      </c>
      <c r="R27" s="1">
        <v>15242</v>
      </c>
      <c r="S27" s="1">
        <v>12418</v>
      </c>
      <c r="T27" s="1">
        <v>122172</v>
      </c>
      <c r="U27" s="1">
        <v>14751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>
        <v>6439</v>
      </c>
      <c r="N28" s="117">
        <v>12569</v>
      </c>
      <c r="O28" s="117">
        <v>12752</v>
      </c>
      <c r="P28" s="117">
        <v>8647</v>
      </c>
      <c r="Q28" s="117">
        <v>11489</v>
      </c>
      <c r="R28" s="1">
        <v>5426</v>
      </c>
      <c r="S28" s="1">
        <v>13563</v>
      </c>
      <c r="T28" s="1">
        <v>11095</v>
      </c>
      <c r="U28" s="1">
        <v>16667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>
        <v>15923</v>
      </c>
      <c r="N29" s="117">
        <v>8335</v>
      </c>
      <c r="O29" s="117">
        <v>13880</v>
      </c>
      <c r="P29" s="117">
        <v>8650</v>
      </c>
      <c r="Q29" s="117">
        <v>12831</v>
      </c>
      <c r="R29" s="1">
        <v>15382</v>
      </c>
      <c r="S29" s="1">
        <v>9618</v>
      </c>
      <c r="T29" s="1">
        <v>13588</v>
      </c>
      <c r="U29" s="1">
        <v>19416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9646</v>
      </c>
      <c r="N30" s="117">
        <v>8446</v>
      </c>
      <c r="O30" s="117">
        <v>14765</v>
      </c>
      <c r="P30" s="117">
        <v>10733</v>
      </c>
      <c r="Q30" s="117">
        <v>12567</v>
      </c>
      <c r="R30" s="1">
        <v>23410</v>
      </c>
      <c r="S30" s="1">
        <v>14812</v>
      </c>
      <c r="T30" s="1">
        <v>13036</v>
      </c>
      <c r="U30" s="1">
        <v>17931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15930</v>
      </c>
      <c r="N31" s="117">
        <v>11642</v>
      </c>
      <c r="O31" s="117">
        <v>-266</v>
      </c>
      <c r="P31" s="117">
        <v>15048</v>
      </c>
      <c r="Q31" s="117">
        <v>1737</v>
      </c>
      <c r="R31" s="1">
        <v>11851</v>
      </c>
      <c r="S31" s="1">
        <v>11275</v>
      </c>
      <c r="T31" s="1">
        <v>11949</v>
      </c>
      <c r="U31" s="1">
        <v>13569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8071</v>
      </c>
      <c r="N32" s="117">
        <v>8348</v>
      </c>
      <c r="O32" s="117">
        <v>10457</v>
      </c>
      <c r="P32" s="117">
        <v>13471</v>
      </c>
      <c r="Q32" s="117">
        <v>15164</v>
      </c>
      <c r="R32" s="2">
        <v>11059</v>
      </c>
      <c r="S32" s="1">
        <v>11983</v>
      </c>
      <c r="T32" s="1">
        <v>12530</v>
      </c>
      <c r="U32" s="1">
        <v>12760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12956</v>
      </c>
      <c r="N33" s="117">
        <v>10051</v>
      </c>
      <c r="O33" s="117">
        <v>8627</v>
      </c>
      <c r="P33" s="117">
        <v>11979</v>
      </c>
      <c r="Q33" s="117">
        <v>13824</v>
      </c>
      <c r="R33" s="1">
        <v>14268</v>
      </c>
      <c r="S33" s="1">
        <v>22872</v>
      </c>
      <c r="T33" s="1">
        <v>12593</v>
      </c>
      <c r="U33" s="1">
        <v>21362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14002</v>
      </c>
      <c r="N34" s="117">
        <v>10022</v>
      </c>
      <c r="O34" s="117">
        <v>13729</v>
      </c>
      <c r="P34" s="117">
        <v>10877</v>
      </c>
      <c r="Q34" s="117">
        <v>15930</v>
      </c>
      <c r="R34" s="1">
        <v>13976</v>
      </c>
      <c r="S34" s="1">
        <v>3166</v>
      </c>
      <c r="T34" s="1">
        <v>19468</v>
      </c>
      <c r="U34" s="1">
        <v>13845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8813</v>
      </c>
      <c r="N35" s="95">
        <v>7551</v>
      </c>
      <c r="O35" s="95">
        <v>7243</v>
      </c>
      <c r="P35" s="95">
        <v>9019</v>
      </c>
      <c r="Q35" s="95">
        <v>15946</v>
      </c>
      <c r="R35" s="1">
        <v>17548</v>
      </c>
      <c r="S35" s="1">
        <v>18648</v>
      </c>
      <c r="T35" s="1">
        <v>22307</v>
      </c>
      <c r="U35" s="1">
        <v>12980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R36" si="3">SUM(M24:M35)</f>
        <v>91780</v>
      </c>
      <c r="N36" s="96">
        <f t="shared" si="3"/>
        <v>118135</v>
      </c>
      <c r="O36" s="96">
        <f t="shared" si="3"/>
        <v>123845</v>
      </c>
      <c r="P36" s="96">
        <f t="shared" si="3"/>
        <v>135426</v>
      </c>
      <c r="Q36" s="96">
        <f t="shared" si="3"/>
        <v>170846</v>
      </c>
      <c r="R36" s="126">
        <f t="shared" si="3"/>
        <v>158160</v>
      </c>
      <c r="S36" s="126">
        <f t="shared" ref="S36:U36" si="4">SUM(S24:S35)</f>
        <v>156195</v>
      </c>
      <c r="T36" s="126">
        <f t="shared" ref="T36" si="5">SUM(T24:T35)</f>
        <v>283855</v>
      </c>
      <c r="U36" s="126">
        <f t="shared" si="4"/>
        <v>183973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-431</v>
      </c>
      <c r="O42" s="117">
        <v>-119</v>
      </c>
      <c r="P42" s="117">
        <v>-82</v>
      </c>
      <c r="Q42" s="117">
        <v>0</v>
      </c>
      <c r="R42" s="117">
        <v>0</v>
      </c>
      <c r="S42" s="117">
        <v>0</v>
      </c>
      <c r="T42" s="1">
        <v>-370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-4038</v>
      </c>
      <c r="O43" s="117">
        <v>-802</v>
      </c>
      <c r="P43" s="117">
        <v>-1486</v>
      </c>
      <c r="Q43" s="117">
        <v>-396</v>
      </c>
      <c r="R43" s="113">
        <v>-6733</v>
      </c>
      <c r="S43" s="117">
        <v>-561</v>
      </c>
      <c r="T43" s="1">
        <v>0</v>
      </c>
      <c r="U43" s="117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-216</v>
      </c>
      <c r="O44" s="117">
        <v>-313</v>
      </c>
      <c r="P44" s="117">
        <v>-238</v>
      </c>
      <c r="Q44" s="117">
        <v>0</v>
      </c>
      <c r="R44" s="113">
        <v>-763</v>
      </c>
      <c r="S44" s="117">
        <v>-164</v>
      </c>
      <c r="T44" s="1">
        <v>-2705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>
        <v>0</v>
      </c>
      <c r="N45" s="117">
        <v>-3516</v>
      </c>
      <c r="O45" s="117">
        <v>0</v>
      </c>
      <c r="P45" s="117">
        <v>-2827</v>
      </c>
      <c r="Q45" s="117">
        <v>-4239</v>
      </c>
      <c r="R45" s="117">
        <v>-2066</v>
      </c>
      <c r="S45" s="117">
        <v>0</v>
      </c>
      <c r="T45" s="1">
        <v>0</v>
      </c>
      <c r="U45" s="117">
        <v>-6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>
        <v>-1782</v>
      </c>
      <c r="N46" s="117">
        <v>0</v>
      </c>
      <c r="O46" s="117">
        <v>-3796</v>
      </c>
      <c r="P46" s="117">
        <v>0</v>
      </c>
      <c r="Q46" s="117">
        <v>-138</v>
      </c>
      <c r="R46" s="1">
        <v>-7176</v>
      </c>
      <c r="S46" s="117">
        <v>0</v>
      </c>
      <c r="T46" s="1">
        <v>-460</v>
      </c>
      <c r="U46" s="117">
        <v>-38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>
        <v>-11</v>
      </c>
      <c r="N47" s="117">
        <v>-1352</v>
      </c>
      <c r="O47" s="117">
        <v>-179</v>
      </c>
      <c r="P47" s="117">
        <v>0</v>
      </c>
      <c r="Q47" s="117">
        <v>-3</v>
      </c>
      <c r="R47" s="1">
        <v>-724</v>
      </c>
      <c r="S47" s="1">
        <v>-5317</v>
      </c>
      <c r="T47" s="1">
        <v>0</v>
      </c>
      <c r="U47" s="1">
        <v>-6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0</v>
      </c>
      <c r="O48" s="117">
        <v>-24</v>
      </c>
      <c r="P48" s="117">
        <v>-850</v>
      </c>
      <c r="Q48" s="117">
        <v>-1414</v>
      </c>
      <c r="R48" s="1">
        <v>-369</v>
      </c>
      <c r="S48" s="117">
        <v>0</v>
      </c>
      <c r="T48" s="1">
        <v>-250</v>
      </c>
      <c r="U48" s="117">
        <v>-1326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0</v>
      </c>
      <c r="N49" s="117">
        <v>-2</v>
      </c>
      <c r="O49" s="117">
        <v>-3452</v>
      </c>
      <c r="P49" s="117">
        <v>-550</v>
      </c>
      <c r="Q49" s="117">
        <v>-1423</v>
      </c>
      <c r="R49" s="117">
        <v>-2470</v>
      </c>
      <c r="S49" s="117">
        <v>0</v>
      </c>
      <c r="T49" s="1">
        <v>-309</v>
      </c>
      <c r="U49" s="117">
        <v>-664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-94</v>
      </c>
      <c r="N50" s="117">
        <v>-13</v>
      </c>
      <c r="O50" s="117">
        <v>-266</v>
      </c>
      <c r="P50" s="117">
        <v>-327</v>
      </c>
      <c r="Q50" s="117">
        <v>-72</v>
      </c>
      <c r="R50" s="117">
        <v>-69</v>
      </c>
      <c r="S50" s="117">
        <v>0</v>
      </c>
      <c r="T50" s="1">
        <v>-687</v>
      </c>
      <c r="U50" s="117">
        <v>-257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-555</v>
      </c>
      <c r="O51" s="117">
        <v>-349</v>
      </c>
      <c r="P51" s="117">
        <v>-470</v>
      </c>
      <c r="Q51" s="117">
        <v>0</v>
      </c>
      <c r="R51" s="117">
        <v>-1</v>
      </c>
      <c r="S51" s="117">
        <v>0</v>
      </c>
      <c r="T51" s="1">
        <v>-414</v>
      </c>
      <c r="U51" s="1">
        <v>-6281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0</v>
      </c>
      <c r="N52" s="117">
        <v>0</v>
      </c>
      <c r="O52" s="117">
        <v>0</v>
      </c>
      <c r="P52" s="117">
        <v>-470</v>
      </c>
      <c r="Q52" s="117">
        <v>-2</v>
      </c>
      <c r="R52" s="1">
        <v>-574</v>
      </c>
      <c r="S52" s="117">
        <v>-63</v>
      </c>
      <c r="T52" s="1">
        <v>0</v>
      </c>
      <c r="U52" s="117">
        <v>-395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>
        <v>-8643</v>
      </c>
      <c r="N53" s="168">
        <v>0</v>
      </c>
      <c r="O53" s="168">
        <v>-434</v>
      </c>
      <c r="P53" s="168">
        <v>-2982</v>
      </c>
      <c r="Q53" s="168">
        <v>0</v>
      </c>
      <c r="R53" s="1">
        <v>-2461</v>
      </c>
      <c r="S53" s="182">
        <v>0</v>
      </c>
      <c r="T53" s="1">
        <v>-167</v>
      </c>
      <c r="U53" s="182">
        <v>-395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R54" si="6">SUM(M42:M53)</f>
        <v>-10530</v>
      </c>
      <c r="N54" s="96">
        <f t="shared" si="6"/>
        <v>-10123</v>
      </c>
      <c r="O54" s="96">
        <f t="shared" si="6"/>
        <v>-9734</v>
      </c>
      <c r="P54" s="96">
        <f t="shared" si="6"/>
        <v>-10282</v>
      </c>
      <c r="Q54" s="96">
        <f t="shared" si="6"/>
        <v>-7687</v>
      </c>
      <c r="R54" s="126">
        <f t="shared" si="6"/>
        <v>-23406</v>
      </c>
      <c r="S54" s="126">
        <f t="shared" ref="S54:U54" si="7">SUM(S42:S53)</f>
        <v>-6105</v>
      </c>
      <c r="T54" s="126">
        <f t="shared" ref="T54" si="8">SUM(T42:T53)</f>
        <v>-5362</v>
      </c>
      <c r="U54" s="126">
        <f t="shared" si="7"/>
        <v>-9369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6.5703125" bestFit="1" customWidth="1"/>
    <col min="5" max="5" width="5.5703125" bestFit="1" customWidth="1"/>
    <col min="6" max="6" width="5.7109375" customWidth="1"/>
    <col min="7" max="7" width="5.7109375" bestFit="1" customWidth="1"/>
    <col min="8" max="12" width="5" bestFit="1" customWidth="1"/>
    <col min="13" max="15" width="9.28515625" bestFit="1" customWidth="1"/>
    <col min="16" max="21" width="10.7109375" bestFit="1" customWidth="1"/>
  </cols>
  <sheetData>
    <row r="1" spans="1:21" x14ac:dyDescent="0.2">
      <c r="A1" s="121" t="s">
        <v>173</v>
      </c>
    </row>
    <row r="2" spans="1:21" x14ac:dyDescent="0.2">
      <c r="A2" s="24" t="s">
        <v>84</v>
      </c>
      <c r="B2" s="6">
        <v>5.0000000000000001E-3</v>
      </c>
      <c r="D2" s="94" t="s">
        <v>210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71965</v>
      </c>
      <c r="O5" s="117">
        <v>73642</v>
      </c>
      <c r="P5" s="117">
        <v>81112</v>
      </c>
      <c r="Q5" s="117">
        <v>87888</v>
      </c>
      <c r="R5" s="1">
        <v>106732</v>
      </c>
      <c r="S5" s="1">
        <v>123913</v>
      </c>
      <c r="T5" s="1">
        <v>147583</v>
      </c>
      <c r="U5" s="1">
        <v>140648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51636</v>
      </c>
      <c r="O6" s="117">
        <v>61646</v>
      </c>
      <c r="P6" s="117">
        <v>64984</v>
      </c>
      <c r="Q6" s="117">
        <v>79923</v>
      </c>
      <c r="R6" s="1">
        <v>82521</v>
      </c>
      <c r="S6" s="1">
        <v>107422</v>
      </c>
      <c r="T6" s="1">
        <v>109441</v>
      </c>
      <c r="U6" s="1">
        <v>114948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49548</v>
      </c>
      <c r="O7" s="117">
        <v>56480</v>
      </c>
      <c r="P7" s="117">
        <v>55372</v>
      </c>
      <c r="Q7" s="117">
        <v>71076</v>
      </c>
      <c r="R7" s="1">
        <v>77928</v>
      </c>
      <c r="S7" s="1">
        <v>104658</v>
      </c>
      <c r="T7" s="1">
        <v>103583</v>
      </c>
      <c r="U7" s="1">
        <v>102399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56013</v>
      </c>
      <c r="O8" s="117">
        <v>65844</v>
      </c>
      <c r="P8" s="117">
        <v>66883</v>
      </c>
      <c r="Q8" s="117">
        <v>81043</v>
      </c>
      <c r="R8" s="1">
        <v>84712</v>
      </c>
      <c r="S8" s="1">
        <v>133933</v>
      </c>
      <c r="T8" s="1">
        <v>125864</v>
      </c>
      <c r="U8" s="1">
        <v>120618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59754</v>
      </c>
      <c r="O9" s="117">
        <v>66261</v>
      </c>
      <c r="P9" s="117">
        <v>64204</v>
      </c>
      <c r="Q9" s="117">
        <v>81074</v>
      </c>
      <c r="R9" s="1">
        <v>91676</v>
      </c>
      <c r="S9" s="1">
        <v>121373</v>
      </c>
      <c r="T9" s="1">
        <v>113953</v>
      </c>
      <c r="U9" s="1">
        <v>122458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77114</v>
      </c>
      <c r="O10" s="117">
        <v>89355</v>
      </c>
      <c r="P10" s="117">
        <v>97960</v>
      </c>
      <c r="Q10" s="117">
        <v>114981</v>
      </c>
      <c r="R10" s="1">
        <v>128217</v>
      </c>
      <c r="S10" s="1">
        <v>158381</v>
      </c>
      <c r="T10" s="1">
        <v>161101</v>
      </c>
      <c r="U10" s="1">
        <v>171760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>
        <v>2</v>
      </c>
      <c r="N11" s="117">
        <v>81181</v>
      </c>
      <c r="O11" s="117">
        <v>94038</v>
      </c>
      <c r="P11" s="117">
        <v>99092</v>
      </c>
      <c r="Q11" s="117">
        <v>127064</v>
      </c>
      <c r="R11" s="1">
        <v>144319</v>
      </c>
      <c r="S11" s="1">
        <v>180476</v>
      </c>
      <c r="T11" s="1">
        <v>209090</v>
      </c>
      <c r="U11" s="1">
        <v>215767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>
        <v>89271</v>
      </c>
      <c r="N12" s="117">
        <v>111657</v>
      </c>
      <c r="O12" s="117">
        <v>124501</v>
      </c>
      <c r="P12" s="117">
        <v>135762</v>
      </c>
      <c r="Q12" s="117">
        <v>156606</v>
      </c>
      <c r="R12" s="1">
        <v>168369</v>
      </c>
      <c r="S12" s="1">
        <v>218372</v>
      </c>
      <c r="T12" s="1">
        <v>205167</v>
      </c>
      <c r="U12" s="1">
        <v>204786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>
        <v>89609</v>
      </c>
      <c r="N13" s="117">
        <v>93138</v>
      </c>
      <c r="O13" s="117">
        <v>97804</v>
      </c>
      <c r="P13" s="117">
        <v>118036</v>
      </c>
      <c r="Q13" s="117">
        <v>128181</v>
      </c>
      <c r="R13" s="2">
        <v>143180</v>
      </c>
      <c r="S13" s="1">
        <v>182667</v>
      </c>
      <c r="T13" s="1">
        <v>194334</v>
      </c>
      <c r="U13" s="1">
        <v>191300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89145</v>
      </c>
      <c r="N14" s="117">
        <v>87369</v>
      </c>
      <c r="O14" s="117">
        <v>93565</v>
      </c>
      <c r="P14" s="117">
        <v>101201</v>
      </c>
      <c r="Q14" s="117">
        <v>120016</v>
      </c>
      <c r="R14" s="1">
        <v>142289</v>
      </c>
      <c r="S14" s="1">
        <v>172222</v>
      </c>
      <c r="T14" s="1">
        <v>168066</v>
      </c>
      <c r="U14" s="1">
        <v>183157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71396</v>
      </c>
      <c r="N15" s="117">
        <v>71918</v>
      </c>
      <c r="O15" s="117">
        <v>85032</v>
      </c>
      <c r="P15" s="117">
        <v>91831</v>
      </c>
      <c r="Q15" s="117">
        <v>98954</v>
      </c>
      <c r="R15" s="1">
        <v>112508</v>
      </c>
      <c r="S15" s="1">
        <v>135048</v>
      </c>
      <c r="T15" s="1">
        <v>142515</v>
      </c>
      <c r="U15" s="1">
        <v>148224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66770</v>
      </c>
      <c r="N16" s="95">
        <v>67331</v>
      </c>
      <c r="O16" s="95">
        <v>70679</v>
      </c>
      <c r="P16" s="95">
        <v>82676</v>
      </c>
      <c r="Q16" s="95">
        <v>93153</v>
      </c>
      <c r="R16" s="1">
        <v>107308</v>
      </c>
      <c r="S16" s="1">
        <v>136675</v>
      </c>
      <c r="T16" s="1">
        <v>134560</v>
      </c>
      <c r="U16" s="1">
        <v>135191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R17" si="0">SUM(M5:M16)</f>
        <v>406193</v>
      </c>
      <c r="N17" s="96">
        <f t="shared" si="0"/>
        <v>878624</v>
      </c>
      <c r="O17" s="96">
        <f t="shared" si="0"/>
        <v>978847</v>
      </c>
      <c r="P17" s="96">
        <f t="shared" si="0"/>
        <v>1059113</v>
      </c>
      <c r="Q17" s="96">
        <f t="shared" si="0"/>
        <v>1239959</v>
      </c>
      <c r="R17" s="126">
        <f t="shared" si="0"/>
        <v>1389759</v>
      </c>
      <c r="S17" s="126">
        <f t="shared" ref="S17:U17" si="1">SUM(S5:S16)</f>
        <v>1775140</v>
      </c>
      <c r="T17" s="126">
        <f t="shared" ref="T17" si="2">SUM(T5:T16)</f>
        <v>1815257</v>
      </c>
      <c r="U17" s="126">
        <f t="shared" si="1"/>
        <v>1851256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210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4258</v>
      </c>
      <c r="O24" s="117">
        <v>6808</v>
      </c>
      <c r="P24" s="117">
        <v>5689</v>
      </c>
      <c r="Q24" s="117">
        <v>6989</v>
      </c>
      <c r="R24" s="1">
        <v>8344</v>
      </c>
      <c r="S24" s="1">
        <v>7083</v>
      </c>
      <c r="T24" s="1">
        <v>11730</v>
      </c>
      <c r="U24" s="1">
        <v>7398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2273</v>
      </c>
      <c r="O25" s="117">
        <v>3419</v>
      </c>
      <c r="P25" s="117">
        <v>5272</v>
      </c>
      <c r="Q25" s="117">
        <v>3613</v>
      </c>
      <c r="R25" s="1">
        <v>6856</v>
      </c>
      <c r="S25" s="1">
        <v>7484</v>
      </c>
      <c r="T25" s="1">
        <v>9890</v>
      </c>
      <c r="U25" s="1">
        <v>4148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3535</v>
      </c>
      <c r="O26" s="117">
        <v>3007</v>
      </c>
      <c r="P26" s="117">
        <v>46424</v>
      </c>
      <c r="Q26" s="117">
        <v>8195</v>
      </c>
      <c r="R26" s="113">
        <v>3351</v>
      </c>
      <c r="S26" s="1">
        <v>5913</v>
      </c>
      <c r="T26" s="1">
        <v>6850</v>
      </c>
      <c r="U26" s="1">
        <v>7320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3753</v>
      </c>
      <c r="O27" s="117">
        <v>4051</v>
      </c>
      <c r="P27" s="117">
        <v>20337</v>
      </c>
      <c r="Q27" s="117">
        <v>7975</v>
      </c>
      <c r="R27" s="117">
        <v>4247</v>
      </c>
      <c r="S27" s="1">
        <v>6343</v>
      </c>
      <c r="T27" s="1">
        <v>12350</v>
      </c>
      <c r="U27" s="1">
        <v>6150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3156</v>
      </c>
      <c r="O28" s="117">
        <v>3698</v>
      </c>
      <c r="P28" s="117">
        <v>7665</v>
      </c>
      <c r="Q28" s="117">
        <v>17536</v>
      </c>
      <c r="R28" s="1">
        <v>38378</v>
      </c>
      <c r="S28" s="1">
        <v>7098</v>
      </c>
      <c r="T28" s="1">
        <v>5536</v>
      </c>
      <c r="U28" s="1">
        <v>4526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3771</v>
      </c>
      <c r="O29" s="117">
        <v>4602</v>
      </c>
      <c r="P29" s="117">
        <v>91291</v>
      </c>
      <c r="Q29" s="117">
        <v>5944</v>
      </c>
      <c r="R29" s="113">
        <v>25487</v>
      </c>
      <c r="S29" s="1">
        <v>9076</v>
      </c>
      <c r="T29" s="1">
        <v>12158</v>
      </c>
      <c r="U29" s="1">
        <v>13856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>
        <v>0</v>
      </c>
      <c r="N30" s="117">
        <v>7243</v>
      </c>
      <c r="O30" s="117">
        <v>4718</v>
      </c>
      <c r="P30" s="117">
        <v>18992</v>
      </c>
      <c r="Q30" s="117">
        <v>8090</v>
      </c>
      <c r="R30" s="1">
        <v>10815</v>
      </c>
      <c r="S30" s="1">
        <v>72085</v>
      </c>
      <c r="T30" s="1">
        <v>11107</v>
      </c>
      <c r="U30" s="1">
        <v>10945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>
        <v>4043</v>
      </c>
      <c r="N31" s="117">
        <v>4981</v>
      </c>
      <c r="O31" s="117">
        <v>5011</v>
      </c>
      <c r="P31" s="117">
        <v>9456</v>
      </c>
      <c r="Q31" s="117">
        <v>15237</v>
      </c>
      <c r="R31" s="1">
        <v>13945</v>
      </c>
      <c r="S31" s="1">
        <v>13744</v>
      </c>
      <c r="T31" s="1">
        <v>9191</v>
      </c>
      <c r="U31" s="1">
        <v>15980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>
        <v>6461</v>
      </c>
      <c r="N32" s="117">
        <v>4424</v>
      </c>
      <c r="O32" s="117">
        <v>4542</v>
      </c>
      <c r="P32" s="117">
        <v>5897</v>
      </c>
      <c r="Q32" s="117">
        <v>5881</v>
      </c>
      <c r="R32" s="2">
        <v>7069</v>
      </c>
      <c r="S32" s="1">
        <v>10972</v>
      </c>
      <c r="T32" s="1">
        <v>8410</v>
      </c>
      <c r="U32" s="1">
        <v>13210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4717</v>
      </c>
      <c r="N33" s="117">
        <v>6405</v>
      </c>
      <c r="O33" s="117">
        <v>10703</v>
      </c>
      <c r="P33" s="117">
        <v>8665</v>
      </c>
      <c r="Q33" s="117">
        <v>10135</v>
      </c>
      <c r="R33" s="1">
        <v>7786</v>
      </c>
      <c r="S33" s="1">
        <v>11468</v>
      </c>
      <c r="T33" s="1">
        <v>10572</v>
      </c>
      <c r="U33" s="1">
        <v>11136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3722</v>
      </c>
      <c r="N34" s="117">
        <v>3726</v>
      </c>
      <c r="O34" s="117">
        <v>6356</v>
      </c>
      <c r="P34" s="117">
        <v>5413</v>
      </c>
      <c r="Q34" s="117">
        <v>6064</v>
      </c>
      <c r="R34" s="1">
        <v>8497</v>
      </c>
      <c r="S34" s="1">
        <v>20528</v>
      </c>
      <c r="T34" s="1">
        <v>6094</v>
      </c>
      <c r="U34" s="1">
        <v>14900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2907</v>
      </c>
      <c r="N35" s="95">
        <v>3571</v>
      </c>
      <c r="O35" s="95">
        <v>4239</v>
      </c>
      <c r="P35" s="95">
        <v>5193</v>
      </c>
      <c r="Q35" s="95">
        <v>4659</v>
      </c>
      <c r="R35" s="1">
        <v>5491</v>
      </c>
      <c r="S35" s="1">
        <v>6506</v>
      </c>
      <c r="T35" s="1">
        <v>8190</v>
      </c>
      <c r="U35" s="1">
        <v>6267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R36" si="3">SUM(M24:M35)</f>
        <v>21850</v>
      </c>
      <c r="N36" s="96">
        <f t="shared" si="3"/>
        <v>51096</v>
      </c>
      <c r="O36" s="96">
        <f t="shared" si="3"/>
        <v>61154</v>
      </c>
      <c r="P36" s="96">
        <f t="shared" si="3"/>
        <v>230294</v>
      </c>
      <c r="Q36" s="96">
        <f t="shared" si="3"/>
        <v>100318</v>
      </c>
      <c r="R36" s="126">
        <f t="shared" si="3"/>
        <v>140266</v>
      </c>
      <c r="S36" s="126">
        <f t="shared" ref="S36:U36" si="4">SUM(S24:S35)</f>
        <v>178300</v>
      </c>
      <c r="T36" s="126">
        <f t="shared" ref="T36" si="5">SUM(T24:T35)</f>
        <v>112078</v>
      </c>
      <c r="U36" s="126">
        <f t="shared" si="4"/>
        <v>115836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">
        <v>-33848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-128</v>
      </c>
      <c r="O43" s="117">
        <v>0</v>
      </c>
      <c r="P43" s="117">
        <v>0</v>
      </c>
      <c r="Q43" s="117">
        <v>0</v>
      </c>
      <c r="R43" s="1">
        <v>-64</v>
      </c>
      <c r="S43" s="117">
        <v>-33</v>
      </c>
      <c r="T43" s="1">
        <v>-13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0</v>
      </c>
      <c r="O44" s="117">
        <v>-1</v>
      </c>
      <c r="P44" s="117">
        <v>-82</v>
      </c>
      <c r="Q44" s="117">
        <v>0</v>
      </c>
      <c r="R44" s="117">
        <v>0</v>
      </c>
      <c r="S44" s="117">
        <v>-3</v>
      </c>
      <c r="T44" s="1">
        <v>-72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-1263</v>
      </c>
      <c r="O45" s="117">
        <v>-261</v>
      </c>
      <c r="P45" s="117">
        <v>-5</v>
      </c>
      <c r="Q45" s="117">
        <v>0</v>
      </c>
      <c r="R45" s="117">
        <v>0</v>
      </c>
      <c r="S45" s="117">
        <v>0</v>
      </c>
      <c r="T45" s="1">
        <v>0</v>
      </c>
      <c r="U45" s="117">
        <v>-14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-453</v>
      </c>
      <c r="P46" s="117">
        <v>-1033</v>
      </c>
      <c r="Q46" s="117">
        <v>-31221</v>
      </c>
      <c r="R46" s="117">
        <v>0</v>
      </c>
      <c r="S46" s="117">
        <v>0</v>
      </c>
      <c r="T46" s="1">
        <v>-20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-2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>
        <v>0</v>
      </c>
      <c r="N48" s="117">
        <v>0</v>
      </c>
      <c r="O48" s="117">
        <v>-35966</v>
      </c>
      <c r="P48" s="117">
        <v>0</v>
      </c>
      <c r="Q48" s="117">
        <v>0</v>
      </c>
      <c r="R48" s="117">
        <v>-56</v>
      </c>
      <c r="S48" s="117">
        <v>0</v>
      </c>
      <c r="T48" s="1">
        <v>-1</v>
      </c>
      <c r="U48" s="117">
        <v>-203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>
        <v>0</v>
      </c>
      <c r="N49" s="117">
        <v>-229</v>
      </c>
      <c r="O49" s="117">
        <v>-34</v>
      </c>
      <c r="P49" s="117">
        <v>0</v>
      </c>
      <c r="Q49" s="117">
        <v>-3</v>
      </c>
      <c r="R49" s="117">
        <v>0</v>
      </c>
      <c r="S49" s="1">
        <v>-677</v>
      </c>
      <c r="T49" s="1">
        <v>-12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">
        <v>-6763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0</v>
      </c>
      <c r="N52" s="117">
        <v>0</v>
      </c>
      <c r="O52" s="117">
        <v>-27</v>
      </c>
      <c r="P52" s="117">
        <v>0</v>
      </c>
      <c r="Q52" s="117">
        <v>-64</v>
      </c>
      <c r="R52" s="1">
        <v>-32008</v>
      </c>
      <c r="S52" s="117">
        <v>0</v>
      </c>
      <c r="T52" s="1">
        <v>-107</v>
      </c>
      <c r="U52" s="117">
        <v>-36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8">
        <v>0</v>
      </c>
      <c r="N53" s="168">
        <v>0</v>
      </c>
      <c r="O53" s="168">
        <v>-8</v>
      </c>
      <c r="P53" s="168">
        <v>0</v>
      </c>
      <c r="Q53" s="168">
        <v>0</v>
      </c>
      <c r="R53" s="168">
        <v>0</v>
      </c>
      <c r="S53" s="182">
        <v>0</v>
      </c>
      <c r="T53" s="1">
        <v>-67</v>
      </c>
      <c r="U53" s="182">
        <v>-32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R54" si="6">SUM(M42:M53)</f>
        <v>0</v>
      </c>
      <c r="N54" s="96">
        <f t="shared" si="6"/>
        <v>-1620</v>
      </c>
      <c r="O54" s="96">
        <f t="shared" si="6"/>
        <v>-36750</v>
      </c>
      <c r="P54" s="96">
        <f t="shared" si="6"/>
        <v>-1120</v>
      </c>
      <c r="Q54" s="96">
        <f t="shared" si="6"/>
        <v>-31288</v>
      </c>
      <c r="R54" s="126">
        <f t="shared" si="6"/>
        <v>-32128</v>
      </c>
      <c r="S54" s="126">
        <f t="shared" ref="S54:U54" si="7">SUM(S42:S53)</f>
        <v>-715</v>
      </c>
      <c r="T54" s="126">
        <f t="shared" ref="T54" si="8">SUM(T42:T53)</f>
        <v>-292</v>
      </c>
      <c r="U54" s="126">
        <f t="shared" si="7"/>
        <v>-40896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6.5703125" bestFit="1" customWidth="1"/>
    <col min="5" max="5" width="5.5703125" bestFit="1" customWidth="1"/>
    <col min="6" max="6" width="5.7109375" customWidth="1"/>
    <col min="7" max="7" width="5.7109375" bestFit="1" customWidth="1"/>
    <col min="8" max="12" width="5" bestFit="1" customWidth="1"/>
    <col min="13" max="13" width="9.28515625" bestFit="1" customWidth="1"/>
    <col min="14" max="18" width="10.7109375" bestFit="1" customWidth="1"/>
    <col min="19" max="19" width="10.7109375" customWidth="1"/>
  </cols>
  <sheetData>
    <row r="1" spans="1:21" x14ac:dyDescent="0.2">
      <c r="A1" s="121" t="s">
        <v>175</v>
      </c>
    </row>
    <row r="2" spans="1:21" x14ac:dyDescent="0.2">
      <c r="A2" s="24" t="s">
        <v>84</v>
      </c>
      <c r="B2" s="6">
        <v>5.0000000000000001E-3</v>
      </c>
      <c r="D2" s="94" t="s">
        <v>211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167816</v>
      </c>
      <c r="O5" s="117">
        <v>165708</v>
      </c>
      <c r="P5" s="117">
        <v>167554</v>
      </c>
      <c r="Q5" s="117">
        <v>159017</v>
      </c>
      <c r="R5" s="1">
        <v>178721</v>
      </c>
      <c r="S5" s="1">
        <v>1883</v>
      </c>
      <c r="T5" s="1">
        <v>127</v>
      </c>
      <c r="U5" s="1">
        <v>23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119448</v>
      </c>
      <c r="O6" s="117">
        <v>126627</v>
      </c>
      <c r="P6" s="117">
        <v>128614</v>
      </c>
      <c r="Q6" s="117">
        <v>122738</v>
      </c>
      <c r="R6" s="1">
        <v>143752</v>
      </c>
      <c r="S6" s="1">
        <v>1134</v>
      </c>
      <c r="T6" s="1">
        <v>13</v>
      </c>
      <c r="U6" s="1">
        <v>12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119930</v>
      </c>
      <c r="O7" s="117">
        <v>115711</v>
      </c>
      <c r="P7" s="117">
        <v>111896</v>
      </c>
      <c r="Q7" s="117">
        <v>121022</v>
      </c>
      <c r="R7" s="1">
        <v>138349</v>
      </c>
      <c r="S7" s="117">
        <v>85</v>
      </c>
      <c r="T7" s="1">
        <v>55</v>
      </c>
      <c r="U7" s="117">
        <v>70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139599</v>
      </c>
      <c r="O8" s="117">
        <v>133026</v>
      </c>
      <c r="P8" s="117">
        <v>140402</v>
      </c>
      <c r="Q8" s="117">
        <v>149674</v>
      </c>
      <c r="R8" s="1">
        <v>155560</v>
      </c>
      <c r="S8" s="117">
        <v>230</v>
      </c>
      <c r="T8" s="1">
        <v>26</v>
      </c>
      <c r="U8" s="117">
        <v>25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140581</v>
      </c>
      <c r="O9" s="117">
        <v>146686</v>
      </c>
      <c r="P9" s="117">
        <v>129917</v>
      </c>
      <c r="Q9" s="117">
        <v>145891</v>
      </c>
      <c r="R9" s="1">
        <v>149654</v>
      </c>
      <c r="S9" s="117">
        <v>-224</v>
      </c>
      <c r="T9" s="1">
        <v>2511</v>
      </c>
      <c r="U9" s="117">
        <v>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149460</v>
      </c>
      <c r="O10" s="117">
        <v>159755</v>
      </c>
      <c r="P10" s="117">
        <v>161321</v>
      </c>
      <c r="Q10" s="117">
        <v>173708</v>
      </c>
      <c r="R10" s="1">
        <v>183314</v>
      </c>
      <c r="S10" s="117">
        <v>54</v>
      </c>
      <c r="T10" s="1">
        <v>369</v>
      </c>
      <c r="U10" s="117">
        <v>46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136278</v>
      </c>
      <c r="O11" s="117">
        <v>136598</v>
      </c>
      <c r="P11" s="117">
        <v>138247</v>
      </c>
      <c r="Q11" s="117">
        <v>172943</v>
      </c>
      <c r="R11" s="1">
        <v>155186</v>
      </c>
      <c r="S11" s="117">
        <v>160</v>
      </c>
      <c r="T11" s="1">
        <v>16</v>
      </c>
      <c r="U11" s="117">
        <v>212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179771</v>
      </c>
      <c r="O12" s="117">
        <v>177959</v>
      </c>
      <c r="P12" s="117">
        <v>183400</v>
      </c>
      <c r="Q12" s="117">
        <v>178590</v>
      </c>
      <c r="R12" s="1">
        <v>35731</v>
      </c>
      <c r="S12" s="1">
        <v>1267</v>
      </c>
      <c r="T12" s="1">
        <v>-794</v>
      </c>
      <c r="U12" s="1">
        <v>40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148831</v>
      </c>
      <c r="O13" s="117">
        <v>171874</v>
      </c>
      <c r="P13" s="117">
        <v>158052</v>
      </c>
      <c r="Q13" s="117">
        <v>192896</v>
      </c>
      <c r="R13" s="117">
        <v>992</v>
      </c>
      <c r="S13" s="117">
        <v>275</v>
      </c>
      <c r="T13" s="1">
        <v>111</v>
      </c>
      <c r="U13" s="117">
        <v>520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1</v>
      </c>
      <c r="N14" s="117">
        <v>162693</v>
      </c>
      <c r="O14" s="117">
        <v>172580</v>
      </c>
      <c r="P14" s="117">
        <v>150612</v>
      </c>
      <c r="Q14" s="117">
        <v>168260</v>
      </c>
      <c r="R14" s="1">
        <v>2265</v>
      </c>
      <c r="S14" s="1">
        <v>5654</v>
      </c>
      <c r="T14" s="1">
        <v>15</v>
      </c>
      <c r="U14" s="1">
        <v>-122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133693</v>
      </c>
      <c r="N15" s="117">
        <v>134289</v>
      </c>
      <c r="O15" s="117">
        <v>135696</v>
      </c>
      <c r="P15" s="117">
        <v>157976</v>
      </c>
      <c r="Q15" s="117">
        <v>165388</v>
      </c>
      <c r="R15" s="1">
        <v>-769</v>
      </c>
      <c r="S15" s="117">
        <v>36</v>
      </c>
      <c r="T15" s="1">
        <v>143</v>
      </c>
      <c r="U15" s="117">
        <v>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140613</v>
      </c>
      <c r="N16" s="95">
        <v>140355</v>
      </c>
      <c r="O16" s="95">
        <v>145887</v>
      </c>
      <c r="P16" s="95">
        <v>149284</v>
      </c>
      <c r="Q16" s="95">
        <v>165630</v>
      </c>
      <c r="R16" s="1">
        <v>3133</v>
      </c>
      <c r="S16" s="95">
        <v>99</v>
      </c>
      <c r="T16" s="1">
        <v>5</v>
      </c>
      <c r="U16" s="95">
        <v>-187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R17" si="0">SUM(M5:M16)</f>
        <v>274307</v>
      </c>
      <c r="N17" s="96">
        <f t="shared" si="0"/>
        <v>1739051</v>
      </c>
      <c r="O17" s="96">
        <f t="shared" si="0"/>
        <v>1788107</v>
      </c>
      <c r="P17" s="96">
        <f t="shared" si="0"/>
        <v>1777275</v>
      </c>
      <c r="Q17" s="96">
        <f t="shared" si="0"/>
        <v>1915757</v>
      </c>
      <c r="R17" s="126">
        <f t="shared" si="0"/>
        <v>1145888</v>
      </c>
      <c r="S17" s="126">
        <f t="shared" ref="S17:U17" si="1">SUM(S5:S16)</f>
        <v>10653</v>
      </c>
      <c r="T17" s="126">
        <f t="shared" ref="T17" si="2">SUM(T5:T16)</f>
        <v>2597</v>
      </c>
      <c r="U17" s="126">
        <f t="shared" si="1"/>
        <v>647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  <c r="R19" s="94" t="s">
        <v>442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16357</v>
      </c>
      <c r="O24" s="117">
        <v>9217</v>
      </c>
      <c r="P24" s="117">
        <v>10082</v>
      </c>
      <c r="Q24" s="117">
        <v>13296</v>
      </c>
      <c r="R24" s="1">
        <v>14706</v>
      </c>
      <c r="S24" s="117">
        <v>553</v>
      </c>
      <c r="T24" s="1">
        <v>-430</v>
      </c>
      <c r="U24" s="1">
        <v>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9091</v>
      </c>
      <c r="O25" s="117">
        <v>6443</v>
      </c>
      <c r="P25" s="117">
        <v>8191</v>
      </c>
      <c r="Q25" s="117">
        <v>15054</v>
      </c>
      <c r="R25" s="1">
        <v>10626</v>
      </c>
      <c r="S25" s="117">
        <v>264</v>
      </c>
      <c r="T25" s="1">
        <v>0</v>
      </c>
      <c r="U25" s="117">
        <v>181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8742</v>
      </c>
      <c r="O26" s="117">
        <v>8015</v>
      </c>
      <c r="P26" s="117">
        <v>8156</v>
      </c>
      <c r="Q26" s="117">
        <v>9232</v>
      </c>
      <c r="R26" s="1">
        <v>-63175</v>
      </c>
      <c r="S26" s="117">
        <v>0</v>
      </c>
      <c r="T26" s="1">
        <v>0</v>
      </c>
      <c r="U26" s="117">
        <v>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16510</v>
      </c>
      <c r="O27" s="117">
        <v>9634</v>
      </c>
      <c r="P27" s="117">
        <v>10683</v>
      </c>
      <c r="Q27" s="117">
        <v>8954</v>
      </c>
      <c r="R27" s="117">
        <v>11350</v>
      </c>
      <c r="S27" s="117">
        <v>0</v>
      </c>
      <c r="T27" s="1">
        <v>-131</v>
      </c>
      <c r="U27" s="117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12006</v>
      </c>
      <c r="O28" s="117">
        <v>-9460</v>
      </c>
      <c r="P28" s="117">
        <v>10862</v>
      </c>
      <c r="Q28" s="117">
        <v>11623</v>
      </c>
      <c r="R28" s="1">
        <v>11748</v>
      </c>
      <c r="S28" s="117">
        <v>27</v>
      </c>
      <c r="T28" s="1">
        <v>503</v>
      </c>
      <c r="U28" s="117">
        <v>47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11009</v>
      </c>
      <c r="O29" s="117">
        <v>10011</v>
      </c>
      <c r="P29" s="117">
        <v>10804</v>
      </c>
      <c r="Q29" s="117">
        <v>13298</v>
      </c>
      <c r="R29" s="1">
        <v>-62079</v>
      </c>
      <c r="S29" s="117">
        <v>0</v>
      </c>
      <c r="T29" s="1">
        <v>0</v>
      </c>
      <c r="U29" s="117">
        <v>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14389</v>
      </c>
      <c r="O30" s="117">
        <v>10180</v>
      </c>
      <c r="P30" s="117">
        <v>10051</v>
      </c>
      <c r="Q30" s="117">
        <v>10850</v>
      </c>
      <c r="R30" s="1">
        <v>12247</v>
      </c>
      <c r="S30" s="117">
        <v>235</v>
      </c>
      <c r="T30" s="1">
        <v>0</v>
      </c>
      <c r="U30" s="117">
        <v>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7469</v>
      </c>
      <c r="O31" s="117">
        <v>10351</v>
      </c>
      <c r="P31" s="117">
        <v>7933</v>
      </c>
      <c r="Q31" s="117">
        <v>15439</v>
      </c>
      <c r="R31" s="1">
        <v>191</v>
      </c>
      <c r="S31" s="117">
        <v>-161</v>
      </c>
      <c r="T31" s="1">
        <v>0</v>
      </c>
      <c r="U31" s="117">
        <v>53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3656</v>
      </c>
      <c r="O32" s="117">
        <v>11984</v>
      </c>
      <c r="P32" s="117">
        <v>8862</v>
      </c>
      <c r="Q32" s="117">
        <v>21953</v>
      </c>
      <c r="R32" s="117">
        <v>-110</v>
      </c>
      <c r="S32" s="117">
        <v>0</v>
      </c>
      <c r="T32" s="1">
        <v>-722</v>
      </c>
      <c r="U32" s="117">
        <v>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0</v>
      </c>
      <c r="N33" s="117">
        <v>10233</v>
      </c>
      <c r="O33" s="117">
        <v>10858</v>
      </c>
      <c r="P33" s="117">
        <v>9615</v>
      </c>
      <c r="Q33" s="117">
        <v>14234</v>
      </c>
      <c r="R33" s="1">
        <v>50</v>
      </c>
      <c r="S33" s="117">
        <v>0</v>
      </c>
      <c r="T33" s="1">
        <v>0</v>
      </c>
      <c r="U33" s="117">
        <v>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8982</v>
      </c>
      <c r="N34" s="117">
        <v>11388</v>
      </c>
      <c r="O34" s="117">
        <v>8061</v>
      </c>
      <c r="P34" s="117">
        <v>22764</v>
      </c>
      <c r="Q34" s="117">
        <v>19726</v>
      </c>
      <c r="R34" s="117">
        <v>25</v>
      </c>
      <c r="S34" s="117">
        <v>-232</v>
      </c>
      <c r="T34" s="1">
        <v>504</v>
      </c>
      <c r="U34" s="117">
        <v>-18213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8250</v>
      </c>
      <c r="N35" s="95">
        <v>8480</v>
      </c>
      <c r="O35" s="95">
        <v>7481</v>
      </c>
      <c r="P35" s="95">
        <v>14267</v>
      </c>
      <c r="Q35" s="95">
        <v>10902</v>
      </c>
      <c r="R35" s="1">
        <v>2120</v>
      </c>
      <c r="S35" s="95">
        <v>-11</v>
      </c>
      <c r="T35" s="1">
        <v>0</v>
      </c>
      <c r="U35" s="168">
        <v>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R36" si="3">SUM(M24:M35)</f>
        <v>17232</v>
      </c>
      <c r="N36" s="96">
        <f t="shared" si="3"/>
        <v>129330</v>
      </c>
      <c r="O36" s="96">
        <f t="shared" si="3"/>
        <v>92775</v>
      </c>
      <c r="P36" s="96">
        <f t="shared" si="3"/>
        <v>132270</v>
      </c>
      <c r="Q36" s="96">
        <f t="shared" si="3"/>
        <v>164561</v>
      </c>
      <c r="R36" s="126">
        <f t="shared" si="3"/>
        <v>-62301</v>
      </c>
      <c r="S36" s="126">
        <f t="shared" ref="S36:U36" si="4">SUM(S24:S35)</f>
        <v>675</v>
      </c>
      <c r="T36" s="126">
        <f t="shared" ref="T36" si="5">SUM(T24:T35)</f>
        <v>-276</v>
      </c>
      <c r="U36" s="126">
        <f t="shared" si="4"/>
        <v>-17932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0</v>
      </c>
      <c r="O42" s="117">
        <v>-148</v>
      </c>
      <c r="P42" s="117">
        <v>-97</v>
      </c>
      <c r="Q42" s="117">
        <v>-440</v>
      </c>
      <c r="R42" s="117">
        <v>0</v>
      </c>
      <c r="S42" s="117">
        <v>-520</v>
      </c>
      <c r="T42" s="1">
        <v>0</v>
      </c>
      <c r="U42" s="1">
        <v>-23780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-51</v>
      </c>
      <c r="O43" s="117">
        <v>-169</v>
      </c>
      <c r="P43" s="117">
        <v>-25</v>
      </c>
      <c r="Q43" s="117">
        <v>-1601</v>
      </c>
      <c r="R43" s="1">
        <v>-356</v>
      </c>
      <c r="S43" s="117">
        <v>-153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0</v>
      </c>
      <c r="O44" s="117">
        <v>0</v>
      </c>
      <c r="P44" s="117">
        <v>0</v>
      </c>
      <c r="Q44" s="117">
        <v>-148</v>
      </c>
      <c r="R44" s="1">
        <v>-367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0</v>
      </c>
      <c r="P45" s="117">
        <v>0</v>
      </c>
      <c r="Q45" s="117">
        <v>-68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-428</v>
      </c>
      <c r="P46" s="117">
        <v>-419</v>
      </c>
      <c r="Q46" s="117">
        <v>0</v>
      </c>
      <c r="R46" s="1">
        <v>-342</v>
      </c>
      <c r="S46" s="117">
        <v>0</v>
      </c>
      <c r="T46" s="1">
        <v>0</v>
      </c>
      <c r="U46" s="117">
        <v>-10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-312</v>
      </c>
      <c r="P47" s="117">
        <v>-39</v>
      </c>
      <c r="Q47" s="117">
        <v>0</v>
      </c>
      <c r="R47" s="1">
        <v>-414</v>
      </c>
      <c r="S47" s="117">
        <v>-2</v>
      </c>
      <c r="T47" s="1">
        <v>0</v>
      </c>
      <c r="U47" s="117">
        <v>-80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0</v>
      </c>
      <c r="P48" s="117">
        <v>0</v>
      </c>
      <c r="Q48" s="117">
        <v>0</v>
      </c>
      <c r="R48" s="1">
        <v>-741</v>
      </c>
      <c r="S48" s="117">
        <v>0</v>
      </c>
      <c r="T48" s="1">
        <v>-16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-247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-448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0</v>
      </c>
      <c r="N52" s="117">
        <v>0</v>
      </c>
      <c r="O52" s="117">
        <v>0</v>
      </c>
      <c r="P52" s="117">
        <v>0</v>
      </c>
      <c r="Q52" s="117">
        <v>-14</v>
      </c>
      <c r="R52" s="117">
        <v>-2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8">
        <v>0</v>
      </c>
      <c r="N53" s="168">
        <v>-302</v>
      </c>
      <c r="O53" s="168">
        <v>0</v>
      </c>
      <c r="P53" s="168">
        <v>-86</v>
      </c>
      <c r="Q53" s="168">
        <v>-214</v>
      </c>
      <c r="R53" s="168">
        <v>0</v>
      </c>
      <c r="S53" s="168">
        <v>0</v>
      </c>
      <c r="T53" s="1">
        <v>0</v>
      </c>
      <c r="U53" s="168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R54" si="6">SUM(M42:M53)</f>
        <v>0</v>
      </c>
      <c r="N54" s="96">
        <f t="shared" si="6"/>
        <v>-801</v>
      </c>
      <c r="O54" s="96">
        <f t="shared" si="6"/>
        <v>-1057</v>
      </c>
      <c r="P54" s="96">
        <f t="shared" si="6"/>
        <v>-666</v>
      </c>
      <c r="Q54" s="96">
        <f t="shared" si="6"/>
        <v>-2485</v>
      </c>
      <c r="R54" s="126">
        <f t="shared" si="6"/>
        <v>-2222</v>
      </c>
      <c r="S54" s="126">
        <f t="shared" ref="S54:U54" si="7">SUM(S42:S53)</f>
        <v>-922</v>
      </c>
      <c r="T54" s="126">
        <f t="shared" ref="T54" si="8">SUM(T42:T53)</f>
        <v>-16</v>
      </c>
      <c r="U54" s="126">
        <f t="shared" si="7"/>
        <v>-23870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U72"/>
  <sheetViews>
    <sheetView workbookViewId="0">
      <pane xSplit="1" topLeftCell="S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.5703125" bestFit="1" customWidth="1"/>
    <col min="6" max="6" width="5.85546875" customWidth="1"/>
    <col min="7" max="7" width="6.7109375" bestFit="1" customWidth="1"/>
    <col min="8" max="12" width="5" bestFit="1" customWidth="1"/>
    <col min="13" max="16" width="10.7109375" bestFit="1" customWidth="1"/>
    <col min="17" max="21" width="11.7109375" bestFit="1" customWidth="1"/>
  </cols>
  <sheetData>
    <row r="1" spans="1:21" x14ac:dyDescent="0.2">
      <c r="A1" s="121" t="s">
        <v>174</v>
      </c>
    </row>
    <row r="2" spans="1:21" x14ac:dyDescent="0.2">
      <c r="A2" s="24" t="s">
        <v>84</v>
      </c>
      <c r="B2" s="6">
        <v>5.0000000000000001E-3</v>
      </c>
      <c r="D2" s="94" t="s">
        <v>211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693117</v>
      </c>
      <c r="O5" s="117">
        <v>713096</v>
      </c>
      <c r="P5" s="117">
        <v>755207</v>
      </c>
      <c r="Q5" s="117">
        <v>837002</v>
      </c>
      <c r="R5" s="1">
        <v>1017398</v>
      </c>
      <c r="S5" s="1">
        <v>1007877</v>
      </c>
      <c r="T5" s="1">
        <v>1028635</v>
      </c>
      <c r="U5" s="1">
        <v>1254787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510869</v>
      </c>
      <c r="O6" s="117">
        <v>538571</v>
      </c>
      <c r="P6" s="117">
        <v>596091</v>
      </c>
      <c r="Q6" s="117">
        <v>677298</v>
      </c>
      <c r="R6" s="1">
        <v>750185</v>
      </c>
      <c r="S6" s="1">
        <v>711487</v>
      </c>
      <c r="T6" s="1">
        <v>882283</v>
      </c>
      <c r="U6" s="1">
        <v>1007202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547053</v>
      </c>
      <c r="O7" s="117">
        <v>510237</v>
      </c>
      <c r="P7" s="117">
        <v>546771</v>
      </c>
      <c r="Q7" s="117">
        <v>667129</v>
      </c>
      <c r="R7" s="1">
        <v>733357</v>
      </c>
      <c r="S7" s="1">
        <v>741949</v>
      </c>
      <c r="T7" s="1">
        <v>856552</v>
      </c>
      <c r="U7" s="1">
        <v>960804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585287</v>
      </c>
      <c r="O8" s="117">
        <v>617626</v>
      </c>
      <c r="P8" s="117">
        <v>657950</v>
      </c>
      <c r="Q8" s="117">
        <v>770796</v>
      </c>
      <c r="R8" s="1">
        <v>776261</v>
      </c>
      <c r="S8" s="1">
        <v>952865</v>
      </c>
      <c r="T8" s="1">
        <v>1065460</v>
      </c>
      <c r="U8" s="1">
        <v>1116052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629636</v>
      </c>
      <c r="O9" s="117">
        <v>623250</v>
      </c>
      <c r="P9" s="117">
        <v>614371</v>
      </c>
      <c r="Q9" s="117">
        <v>768167</v>
      </c>
      <c r="R9" s="1">
        <v>757241</v>
      </c>
      <c r="S9" s="1">
        <v>935484</v>
      </c>
      <c r="T9" s="1">
        <v>1021106</v>
      </c>
      <c r="U9" s="1">
        <v>1124617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704410</v>
      </c>
      <c r="O10" s="117">
        <v>719620</v>
      </c>
      <c r="P10" s="117">
        <v>802787</v>
      </c>
      <c r="Q10" s="117">
        <v>892265</v>
      </c>
      <c r="R10" s="1">
        <v>906020</v>
      </c>
      <c r="S10" s="1">
        <v>1009374</v>
      </c>
      <c r="T10" s="1">
        <v>1290927</v>
      </c>
      <c r="U10" s="1">
        <v>1287640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696304</v>
      </c>
      <c r="O11" s="117">
        <v>760833</v>
      </c>
      <c r="P11" s="117">
        <v>820169</v>
      </c>
      <c r="Q11" s="117">
        <v>923150</v>
      </c>
      <c r="R11" s="1">
        <v>955053</v>
      </c>
      <c r="S11" s="1">
        <v>1123944</v>
      </c>
      <c r="T11" s="1">
        <v>1264012</v>
      </c>
      <c r="U11" s="1">
        <v>1454731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796797</v>
      </c>
      <c r="O12" s="117">
        <v>841924</v>
      </c>
      <c r="P12" s="117">
        <v>913472</v>
      </c>
      <c r="Q12" s="117">
        <v>1027810</v>
      </c>
      <c r="R12" s="1">
        <v>964642</v>
      </c>
      <c r="S12" s="1">
        <v>1235098</v>
      </c>
      <c r="T12" s="1">
        <v>1243642</v>
      </c>
      <c r="U12" s="1">
        <v>1310240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763297</v>
      </c>
      <c r="O13" s="117">
        <v>773037</v>
      </c>
      <c r="P13" s="117">
        <v>899700</v>
      </c>
      <c r="Q13" s="117">
        <v>1009517</v>
      </c>
      <c r="R13" s="2">
        <v>896974</v>
      </c>
      <c r="S13" s="1">
        <v>1094221</v>
      </c>
      <c r="T13" s="1">
        <v>1280577</v>
      </c>
      <c r="U13" s="1">
        <v>1350457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>
        <v>42</v>
      </c>
      <c r="N14" s="117">
        <v>751146</v>
      </c>
      <c r="O14" s="117">
        <v>779814</v>
      </c>
      <c r="P14" s="117">
        <v>819076</v>
      </c>
      <c r="Q14" s="117">
        <v>990774</v>
      </c>
      <c r="R14" s="1">
        <v>949958</v>
      </c>
      <c r="S14" s="1">
        <v>1156430</v>
      </c>
      <c r="T14" s="1">
        <v>1244898</v>
      </c>
      <c r="U14" s="1">
        <v>1201339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>
        <v>552029</v>
      </c>
      <c r="N15" s="117">
        <v>659164</v>
      </c>
      <c r="O15" s="117">
        <v>684523</v>
      </c>
      <c r="P15" s="117">
        <v>809520</v>
      </c>
      <c r="Q15" s="117">
        <v>924047</v>
      </c>
      <c r="R15" s="1">
        <v>850492</v>
      </c>
      <c r="S15" s="1">
        <v>1055599</v>
      </c>
      <c r="T15" s="1">
        <v>1194555</v>
      </c>
      <c r="U15" s="1">
        <v>1121819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>
        <v>558792</v>
      </c>
      <c r="N16" s="95">
        <v>649787</v>
      </c>
      <c r="O16" s="95">
        <v>660156</v>
      </c>
      <c r="P16" s="95">
        <v>741113</v>
      </c>
      <c r="Q16" s="95">
        <v>847325</v>
      </c>
      <c r="R16" s="1">
        <v>851986</v>
      </c>
      <c r="S16" s="1">
        <v>1046615</v>
      </c>
      <c r="T16" s="1">
        <v>1233296</v>
      </c>
      <c r="U16" s="1">
        <v>1100492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>
        <f t="shared" ref="M17:R17" si="0">SUM(M5:M16)</f>
        <v>1110863</v>
      </c>
      <c r="N17" s="96">
        <f t="shared" si="0"/>
        <v>7986867</v>
      </c>
      <c r="O17" s="96">
        <f t="shared" si="0"/>
        <v>8222687</v>
      </c>
      <c r="P17" s="96">
        <f t="shared" si="0"/>
        <v>8976227</v>
      </c>
      <c r="Q17" s="96">
        <f t="shared" si="0"/>
        <v>10335280</v>
      </c>
      <c r="R17" s="126">
        <f t="shared" si="0"/>
        <v>10409567</v>
      </c>
      <c r="S17" s="126">
        <f t="shared" ref="S17:U17" si="1">SUM(S5:S16)</f>
        <v>12070943</v>
      </c>
      <c r="T17" s="126">
        <f t="shared" ref="T17" si="2">SUM(T5:T16)</f>
        <v>13605943</v>
      </c>
      <c r="U17" s="126">
        <f t="shared" si="1"/>
        <v>14290180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211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50078</v>
      </c>
      <c r="O24" s="117">
        <v>47431</v>
      </c>
      <c r="P24" s="117">
        <v>40018</v>
      </c>
      <c r="Q24" s="117">
        <v>67353</v>
      </c>
      <c r="R24" s="1">
        <v>63490</v>
      </c>
      <c r="S24" s="1">
        <v>55284</v>
      </c>
      <c r="T24" s="1">
        <v>61927</v>
      </c>
      <c r="U24" s="1">
        <v>85818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24833</v>
      </c>
      <c r="O25" s="117">
        <v>40048</v>
      </c>
      <c r="P25" s="117">
        <v>48146</v>
      </c>
      <c r="Q25" s="117">
        <v>38602</v>
      </c>
      <c r="R25" s="1">
        <v>46417</v>
      </c>
      <c r="S25" s="1">
        <v>35595</v>
      </c>
      <c r="T25" s="1">
        <v>46597</v>
      </c>
      <c r="U25" s="1">
        <v>52951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23661</v>
      </c>
      <c r="O26" s="117">
        <v>31119</v>
      </c>
      <c r="P26" s="117">
        <v>38625</v>
      </c>
      <c r="Q26" s="117">
        <v>54492</v>
      </c>
      <c r="R26" s="1">
        <v>57616</v>
      </c>
      <c r="S26" s="1">
        <v>28420</v>
      </c>
      <c r="T26" s="1">
        <v>30254</v>
      </c>
      <c r="U26" s="1">
        <v>41321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28813</v>
      </c>
      <c r="O27" s="117">
        <v>32608</v>
      </c>
      <c r="P27" s="117">
        <v>44985</v>
      </c>
      <c r="Q27" s="117">
        <v>51042</v>
      </c>
      <c r="R27" s="1">
        <v>40480</v>
      </c>
      <c r="S27" s="1">
        <v>35339</v>
      </c>
      <c r="T27" s="1">
        <v>59816</v>
      </c>
      <c r="U27" s="1">
        <v>87680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31696</v>
      </c>
      <c r="O28" s="117">
        <v>35945</v>
      </c>
      <c r="P28" s="117">
        <v>36704</v>
      </c>
      <c r="Q28" s="117">
        <v>43931</v>
      </c>
      <c r="R28" s="1">
        <v>34131</v>
      </c>
      <c r="S28" s="1">
        <v>43641</v>
      </c>
      <c r="T28" s="1">
        <v>39061</v>
      </c>
      <c r="U28" s="1">
        <v>49436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36201</v>
      </c>
      <c r="O29" s="117">
        <v>46213</v>
      </c>
      <c r="P29" s="117">
        <v>45080</v>
      </c>
      <c r="Q29" s="117">
        <v>39052</v>
      </c>
      <c r="R29" s="1">
        <v>37129</v>
      </c>
      <c r="S29" s="1">
        <v>52133</v>
      </c>
      <c r="T29" s="1">
        <v>47882</v>
      </c>
      <c r="U29" s="1">
        <v>67813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206012</v>
      </c>
      <c r="O30" s="117">
        <v>40406</v>
      </c>
      <c r="P30" s="117">
        <v>52608</v>
      </c>
      <c r="Q30" s="117">
        <v>49052</v>
      </c>
      <c r="R30" s="1">
        <v>47862</v>
      </c>
      <c r="S30" s="1">
        <v>63122</v>
      </c>
      <c r="T30" s="1">
        <v>56479</v>
      </c>
      <c r="U30" s="1">
        <v>130197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38172</v>
      </c>
      <c r="O31" s="117">
        <v>38218</v>
      </c>
      <c r="P31" s="117">
        <v>52260</v>
      </c>
      <c r="Q31" s="117">
        <v>53264</v>
      </c>
      <c r="R31" s="1">
        <v>36496</v>
      </c>
      <c r="S31" s="1">
        <v>50682</v>
      </c>
      <c r="T31" s="1">
        <v>57245</v>
      </c>
      <c r="U31" s="1">
        <v>61091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35920</v>
      </c>
      <c r="O32" s="117">
        <v>47709</v>
      </c>
      <c r="P32" s="117">
        <v>51816</v>
      </c>
      <c r="Q32" s="117">
        <v>46898</v>
      </c>
      <c r="R32" s="2">
        <v>35167</v>
      </c>
      <c r="S32" s="1">
        <v>51954</v>
      </c>
      <c r="T32" s="1">
        <v>49296</v>
      </c>
      <c r="U32" s="1">
        <v>78296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>
        <v>0</v>
      </c>
      <c r="N33" s="117">
        <v>36769</v>
      </c>
      <c r="O33" s="117">
        <v>48558</v>
      </c>
      <c r="P33" s="117">
        <v>50195</v>
      </c>
      <c r="Q33" s="117">
        <v>50420</v>
      </c>
      <c r="R33" s="1">
        <v>46576</v>
      </c>
      <c r="S33" s="1">
        <v>58191</v>
      </c>
      <c r="T33" s="1">
        <v>70399</v>
      </c>
      <c r="U33" s="1">
        <v>74310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>
        <v>38174</v>
      </c>
      <c r="N34" s="117">
        <v>36836</v>
      </c>
      <c r="O34" s="117">
        <v>36686</v>
      </c>
      <c r="P34" s="117">
        <v>49882</v>
      </c>
      <c r="Q34" s="117">
        <v>58596</v>
      </c>
      <c r="R34" s="1">
        <v>36970</v>
      </c>
      <c r="S34" s="1">
        <v>46831</v>
      </c>
      <c r="T34" s="1">
        <v>62968</v>
      </c>
      <c r="U34" s="1">
        <v>79819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>
        <v>25755</v>
      </c>
      <c r="N35" s="95">
        <v>25477</v>
      </c>
      <c r="O35" s="95">
        <v>28733</v>
      </c>
      <c r="P35" s="95">
        <v>51522</v>
      </c>
      <c r="Q35" s="95">
        <v>37662</v>
      </c>
      <c r="R35" s="1">
        <v>38548</v>
      </c>
      <c r="S35" s="1">
        <v>44822</v>
      </c>
      <c r="T35" s="1">
        <v>68689</v>
      </c>
      <c r="U35" s="1">
        <v>67203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>
        <f t="shared" ref="M36:R36" si="3">SUM(M24:M35)</f>
        <v>63929</v>
      </c>
      <c r="N36" s="96">
        <f t="shared" si="3"/>
        <v>574468</v>
      </c>
      <c r="O36" s="96">
        <f t="shared" si="3"/>
        <v>473674</v>
      </c>
      <c r="P36" s="96">
        <f t="shared" si="3"/>
        <v>561841</v>
      </c>
      <c r="Q36" s="96">
        <f t="shared" si="3"/>
        <v>590364</v>
      </c>
      <c r="R36" s="126">
        <f t="shared" si="3"/>
        <v>520882</v>
      </c>
      <c r="S36" s="126">
        <f t="shared" ref="S36:U36" si="4">SUM(S24:S35)</f>
        <v>566014</v>
      </c>
      <c r="T36" s="126">
        <f t="shared" ref="T36" si="5">SUM(T24:T35)</f>
        <v>650613</v>
      </c>
      <c r="U36" s="126">
        <f t="shared" si="4"/>
        <v>875935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0</v>
      </c>
      <c r="O42" s="117">
        <v>-824</v>
      </c>
      <c r="P42" s="117">
        <v>-4937</v>
      </c>
      <c r="Q42" s="117">
        <v>-9210</v>
      </c>
      <c r="R42" s="1">
        <v>-1134</v>
      </c>
      <c r="S42" s="1">
        <v>-599</v>
      </c>
      <c r="T42" s="1">
        <v>-3109</v>
      </c>
      <c r="U42" s="1">
        <v>-5758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-914</v>
      </c>
      <c r="O43" s="117">
        <v>-20370</v>
      </c>
      <c r="P43" s="117">
        <v>-559</v>
      </c>
      <c r="Q43" s="117">
        <v>-6022</v>
      </c>
      <c r="R43" s="1">
        <v>-24443</v>
      </c>
      <c r="S43" s="117">
        <v>-4</v>
      </c>
      <c r="T43" s="1">
        <v>-5075</v>
      </c>
      <c r="U43" s="1">
        <v>-34294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-709</v>
      </c>
      <c r="O44" s="117">
        <v>-110</v>
      </c>
      <c r="P44" s="117">
        <v>-15348</v>
      </c>
      <c r="Q44" s="117">
        <v>-4389</v>
      </c>
      <c r="R44" s="1">
        <v>-4189</v>
      </c>
      <c r="S44" s="1">
        <v>-16899</v>
      </c>
      <c r="T44" s="1">
        <v>-9385</v>
      </c>
      <c r="U44" s="1">
        <v>-349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-457</v>
      </c>
      <c r="O45" s="117">
        <v>-15515</v>
      </c>
      <c r="P45" s="117">
        <v>-9860</v>
      </c>
      <c r="Q45" s="117">
        <v>-205</v>
      </c>
      <c r="R45" s="1">
        <v>-12766</v>
      </c>
      <c r="S45" s="1">
        <v>-16713</v>
      </c>
      <c r="T45" s="1">
        <v>-149</v>
      </c>
      <c r="U45" s="1">
        <v>-1239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-31</v>
      </c>
      <c r="O46" s="117">
        <v>-2570</v>
      </c>
      <c r="P46" s="117">
        <v>-303</v>
      </c>
      <c r="Q46" s="117">
        <v>-3588</v>
      </c>
      <c r="R46" s="1">
        <v>-35504</v>
      </c>
      <c r="S46" s="1">
        <v>-1237</v>
      </c>
      <c r="T46" s="1">
        <v>-4967</v>
      </c>
      <c r="U46" s="1">
        <v>-6279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-300</v>
      </c>
      <c r="O47" s="117">
        <v>-58</v>
      </c>
      <c r="P47" s="117">
        <v>-125</v>
      </c>
      <c r="Q47" s="117">
        <v>-454</v>
      </c>
      <c r="R47" s="1">
        <v>-21336</v>
      </c>
      <c r="S47" s="117">
        <v>-34</v>
      </c>
      <c r="T47" s="1">
        <v>-2753</v>
      </c>
      <c r="U47" s="117">
        <v>-851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-105</v>
      </c>
      <c r="P48" s="117">
        <v>-1</v>
      </c>
      <c r="Q48" s="117">
        <v>-1289</v>
      </c>
      <c r="R48" s="1">
        <v>-16617</v>
      </c>
      <c r="S48" s="117">
        <v>-388</v>
      </c>
      <c r="T48" s="1">
        <v>-8071</v>
      </c>
      <c r="U48" s="117">
        <v>-5531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-269</v>
      </c>
      <c r="O49" s="117">
        <v>-6713</v>
      </c>
      <c r="P49" s="117">
        <v>-1288</v>
      </c>
      <c r="Q49" s="117">
        <v>-683</v>
      </c>
      <c r="R49" s="1">
        <v>-22480</v>
      </c>
      <c r="S49" s="1">
        <v>-60788</v>
      </c>
      <c r="T49" s="1">
        <v>-7825</v>
      </c>
      <c r="U49" s="1">
        <v>-8070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-45</v>
      </c>
      <c r="O50" s="117">
        <v>-1286</v>
      </c>
      <c r="P50" s="117">
        <v>-13</v>
      </c>
      <c r="Q50" s="117">
        <v>-766</v>
      </c>
      <c r="R50" s="117">
        <v>-50</v>
      </c>
      <c r="S50" s="117">
        <v>0</v>
      </c>
      <c r="T50" s="1">
        <v>-62438</v>
      </c>
      <c r="U50" s="1">
        <v>-2626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>
        <v>0</v>
      </c>
      <c r="N51" s="117">
        <v>-159</v>
      </c>
      <c r="O51" s="117">
        <v>-521</v>
      </c>
      <c r="P51" s="117">
        <v>-640</v>
      </c>
      <c r="Q51" s="117">
        <v>-89</v>
      </c>
      <c r="R51" s="117">
        <v>-19</v>
      </c>
      <c r="S51" s="1">
        <v>-4063</v>
      </c>
      <c r="T51" s="1">
        <v>-324</v>
      </c>
      <c r="U51" s="1">
        <v>-33476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>
        <v>0</v>
      </c>
      <c r="N52" s="117">
        <v>-183</v>
      </c>
      <c r="O52" s="117">
        <v>-477</v>
      </c>
      <c r="P52" s="117">
        <v>-676</v>
      </c>
      <c r="Q52" s="117">
        <v>-599</v>
      </c>
      <c r="R52" s="1">
        <v>-1274</v>
      </c>
      <c r="S52" s="117">
        <v>-385</v>
      </c>
      <c r="T52" s="1">
        <v>-681</v>
      </c>
      <c r="U52" s="117">
        <v>-72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>
        <v>-86</v>
      </c>
      <c r="N53" s="95">
        <v>-9</v>
      </c>
      <c r="O53" s="95">
        <v>-892</v>
      </c>
      <c r="P53" s="168">
        <v>0</v>
      </c>
      <c r="Q53" s="168">
        <v>-12529</v>
      </c>
      <c r="R53" s="1">
        <v>-2501</v>
      </c>
      <c r="S53" s="1">
        <v>-1796</v>
      </c>
      <c r="T53" s="1">
        <v>-9819</v>
      </c>
      <c r="U53" s="1">
        <v>-2751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>
        <f t="shared" ref="M54:R54" si="6">SUM(M42:M53)</f>
        <v>-86</v>
      </c>
      <c r="N54" s="96">
        <f t="shared" si="6"/>
        <v>-3076</v>
      </c>
      <c r="O54" s="96">
        <f t="shared" si="6"/>
        <v>-49441</v>
      </c>
      <c r="P54" s="96">
        <f t="shared" si="6"/>
        <v>-33750</v>
      </c>
      <c r="Q54" s="96">
        <f t="shared" si="6"/>
        <v>-39823</v>
      </c>
      <c r="R54" s="126">
        <f t="shared" si="6"/>
        <v>-142313</v>
      </c>
      <c r="S54" s="126">
        <f t="shared" ref="S54:U54" si="7">SUM(S42:S53)</f>
        <v>-102906</v>
      </c>
      <c r="T54" s="126">
        <f t="shared" ref="T54" si="8">SUM(T42:T53)</f>
        <v>-114596</v>
      </c>
      <c r="U54" s="126">
        <f t="shared" si="7"/>
        <v>-101296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211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>
        <v>13660</v>
      </c>
      <c r="O60" s="117">
        <v>23400</v>
      </c>
      <c r="P60" s="117">
        <v>20380</v>
      </c>
      <c r="Q60" s="117">
        <v>19720</v>
      </c>
      <c r="R60" s="1">
        <v>39080</v>
      </c>
      <c r="S60" s="1">
        <v>25180</v>
      </c>
      <c r="T60" s="1">
        <v>22620</v>
      </c>
      <c r="U60" s="1">
        <v>24900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>
        <v>12440</v>
      </c>
      <c r="O61" s="117">
        <v>15840</v>
      </c>
      <c r="P61" s="117">
        <v>21240</v>
      </c>
      <c r="Q61" s="117">
        <v>25000</v>
      </c>
      <c r="R61" s="1">
        <v>27450</v>
      </c>
      <c r="S61" s="1">
        <v>19940</v>
      </c>
      <c r="T61" s="1">
        <v>19420</v>
      </c>
      <c r="U61" s="1">
        <v>18860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>
        <v>13980</v>
      </c>
      <c r="O62" s="117">
        <v>16860</v>
      </c>
      <c r="P62" s="117">
        <v>18020</v>
      </c>
      <c r="Q62" s="117">
        <v>19080</v>
      </c>
      <c r="R62" s="1">
        <v>22055</v>
      </c>
      <c r="S62" s="1">
        <v>21600</v>
      </c>
      <c r="T62" s="1">
        <v>19040</v>
      </c>
      <c r="U62" s="1">
        <v>22820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>
        <v>18920</v>
      </c>
      <c r="O63" s="117">
        <v>22540</v>
      </c>
      <c r="P63" s="117">
        <v>28160</v>
      </c>
      <c r="Q63" s="117">
        <v>33520</v>
      </c>
      <c r="R63" s="1">
        <v>24855</v>
      </c>
      <c r="S63" s="1">
        <v>42000</v>
      </c>
      <c r="T63" s="1">
        <v>30760</v>
      </c>
      <c r="U63" s="1">
        <v>25600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>
        <v>18540</v>
      </c>
      <c r="O64" s="117">
        <v>22220</v>
      </c>
      <c r="P64" s="117">
        <v>21600</v>
      </c>
      <c r="Q64" s="117">
        <v>29520</v>
      </c>
      <c r="R64" s="117">
        <v>18080</v>
      </c>
      <c r="S64" s="1">
        <v>32180</v>
      </c>
      <c r="T64" s="1">
        <v>23220</v>
      </c>
      <c r="U64" s="1">
        <v>23960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3"/>
      <c r="M65" s="117"/>
      <c r="N65" s="117">
        <v>22140</v>
      </c>
      <c r="O65" s="117">
        <v>22440</v>
      </c>
      <c r="P65" s="117">
        <v>26780</v>
      </c>
      <c r="Q65" s="117">
        <v>25200</v>
      </c>
      <c r="R65" s="113">
        <v>29080</v>
      </c>
      <c r="S65" s="1">
        <v>30800</v>
      </c>
      <c r="T65" s="1">
        <v>31800</v>
      </c>
      <c r="U65" s="1">
        <v>25960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>
        <v>20560</v>
      </c>
      <c r="O66" s="117">
        <v>18760</v>
      </c>
      <c r="P66" s="117">
        <v>28460</v>
      </c>
      <c r="Q66" s="117">
        <v>33860</v>
      </c>
      <c r="R66" s="1">
        <v>39440</v>
      </c>
      <c r="S66" s="1">
        <v>21640</v>
      </c>
      <c r="T66" s="1">
        <v>24880</v>
      </c>
      <c r="U66" s="1">
        <v>28500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>
        <v>19320</v>
      </c>
      <c r="O67" s="117">
        <v>24120</v>
      </c>
      <c r="P67" s="117">
        <v>24560</v>
      </c>
      <c r="Q67" s="117">
        <v>25180</v>
      </c>
      <c r="R67" s="1">
        <v>29620</v>
      </c>
      <c r="S67" s="1">
        <v>33200</v>
      </c>
      <c r="T67" s="1">
        <v>23180</v>
      </c>
      <c r="U67" s="1">
        <v>23380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>
        <v>20200</v>
      </c>
      <c r="O68" s="117">
        <v>21000</v>
      </c>
      <c r="P68" s="117">
        <v>22900</v>
      </c>
      <c r="Q68" s="117">
        <v>24080</v>
      </c>
      <c r="R68" s="2">
        <v>29460</v>
      </c>
      <c r="S68" s="1">
        <v>22960</v>
      </c>
      <c r="T68" s="1">
        <v>25880</v>
      </c>
      <c r="U68" s="1">
        <v>23860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>
        <v>19720</v>
      </c>
      <c r="O69" s="117">
        <v>18880</v>
      </c>
      <c r="P69" s="117">
        <v>19940</v>
      </c>
      <c r="Q69" s="117">
        <v>25780</v>
      </c>
      <c r="R69" s="1">
        <v>33980</v>
      </c>
      <c r="S69" s="1">
        <v>24600</v>
      </c>
      <c r="T69" s="1">
        <v>23400</v>
      </c>
      <c r="U69" s="1">
        <v>26060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>
        <v>12400</v>
      </c>
      <c r="N70" s="117">
        <v>15540</v>
      </c>
      <c r="O70" s="117">
        <v>19180</v>
      </c>
      <c r="P70" s="117">
        <v>20720</v>
      </c>
      <c r="Q70" s="117">
        <v>29550</v>
      </c>
      <c r="R70" s="1">
        <v>25040</v>
      </c>
      <c r="S70" s="1">
        <v>22060</v>
      </c>
      <c r="T70" s="1">
        <v>26460</v>
      </c>
      <c r="U70" s="1">
        <v>21500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>
        <v>12960</v>
      </c>
      <c r="N71" s="95">
        <v>14360</v>
      </c>
      <c r="O71" s="95">
        <v>17240</v>
      </c>
      <c r="P71" s="95">
        <v>16920</v>
      </c>
      <c r="Q71" s="95">
        <v>31515</v>
      </c>
      <c r="R71" s="1">
        <v>15300</v>
      </c>
      <c r="S71" s="1">
        <v>21100</v>
      </c>
      <c r="T71" s="1">
        <v>18100</v>
      </c>
      <c r="U71" s="1">
        <v>18100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>
        <f t="shared" ref="M72:R72" si="9">SUM(M60:M71)</f>
        <v>25360</v>
      </c>
      <c r="N72" s="96">
        <f t="shared" si="9"/>
        <v>209380</v>
      </c>
      <c r="O72" s="96">
        <f t="shared" si="9"/>
        <v>242480</v>
      </c>
      <c r="P72" s="96">
        <f t="shared" si="9"/>
        <v>269680</v>
      </c>
      <c r="Q72" s="96">
        <f t="shared" si="9"/>
        <v>322005</v>
      </c>
      <c r="R72" s="126">
        <f t="shared" si="9"/>
        <v>333440</v>
      </c>
      <c r="S72" s="126">
        <f t="shared" ref="S72:U72" si="10">SUM(S60:S71)</f>
        <v>317260</v>
      </c>
      <c r="T72" s="126">
        <f t="shared" ref="T72" si="11">SUM(T60:T71)</f>
        <v>288760</v>
      </c>
      <c r="U72" s="126">
        <f t="shared" si="10"/>
        <v>283500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21" width="10.7109375" bestFit="1" customWidth="1"/>
  </cols>
  <sheetData>
    <row r="1" spans="1:21" x14ac:dyDescent="0.2">
      <c r="A1" s="121" t="s">
        <v>275</v>
      </c>
    </row>
    <row r="2" spans="1:21" x14ac:dyDescent="0.2">
      <c r="A2" s="24" t="s">
        <v>84</v>
      </c>
      <c r="B2" s="6">
        <v>5.0000000000000001E-3</v>
      </c>
      <c r="D2" s="94" t="s">
        <v>276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9</v>
      </c>
      <c r="P5" s="117">
        <v>54026</v>
      </c>
      <c r="Q5" s="117">
        <v>61879</v>
      </c>
      <c r="R5" s="1">
        <v>70006</v>
      </c>
      <c r="S5" s="1">
        <v>76573</v>
      </c>
      <c r="T5" s="1">
        <v>79818</v>
      </c>
      <c r="U5" s="1">
        <v>85257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40821</v>
      </c>
      <c r="P6" s="117">
        <v>49301</v>
      </c>
      <c r="Q6" s="117">
        <v>51482</v>
      </c>
      <c r="R6" s="1">
        <v>59318</v>
      </c>
      <c r="S6" s="1">
        <v>54318</v>
      </c>
      <c r="T6" s="1">
        <v>74957</v>
      </c>
      <c r="U6" s="1">
        <v>85223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42990</v>
      </c>
      <c r="P7" s="117">
        <v>44207</v>
      </c>
      <c r="Q7" s="117">
        <v>47410</v>
      </c>
      <c r="R7" s="1">
        <v>54175</v>
      </c>
      <c r="S7" s="1">
        <v>69344</v>
      </c>
      <c r="T7" s="1">
        <v>77674</v>
      </c>
      <c r="U7" s="1">
        <v>78897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>
        <v>47315</v>
      </c>
      <c r="P8" s="117">
        <v>61565</v>
      </c>
      <c r="Q8" s="117">
        <v>78887</v>
      </c>
      <c r="R8" s="1">
        <v>53058</v>
      </c>
      <c r="S8" s="1">
        <v>87566</v>
      </c>
      <c r="T8" s="1">
        <v>86140</v>
      </c>
      <c r="U8" s="1">
        <v>95939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>
        <v>29781</v>
      </c>
      <c r="P9" s="117">
        <v>33253</v>
      </c>
      <c r="Q9" s="117">
        <v>36798</v>
      </c>
      <c r="R9" s="1">
        <v>23297</v>
      </c>
      <c r="S9" s="1">
        <v>59480</v>
      </c>
      <c r="T9" s="1">
        <v>56498</v>
      </c>
      <c r="U9" s="1">
        <v>56993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>
        <v>47861</v>
      </c>
      <c r="P10" s="117">
        <v>48867</v>
      </c>
      <c r="Q10" s="117">
        <v>57258</v>
      </c>
      <c r="R10" s="1">
        <v>36262</v>
      </c>
      <c r="S10" s="1">
        <v>86648</v>
      </c>
      <c r="T10" s="1">
        <v>84082</v>
      </c>
      <c r="U10" s="1">
        <v>84509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68889</v>
      </c>
      <c r="P11" s="117">
        <v>73881</v>
      </c>
      <c r="Q11" s="117">
        <v>86641</v>
      </c>
      <c r="R11" s="1">
        <v>76093</v>
      </c>
      <c r="S11" s="1">
        <v>109271</v>
      </c>
      <c r="T11" s="1">
        <v>138088</v>
      </c>
      <c r="U11" s="1">
        <v>129165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93954</v>
      </c>
      <c r="P12" s="117">
        <v>103598</v>
      </c>
      <c r="Q12" s="117">
        <v>114943</v>
      </c>
      <c r="R12" s="1">
        <v>124725</v>
      </c>
      <c r="S12" s="1">
        <v>141990</v>
      </c>
      <c r="T12" s="1">
        <v>136481</v>
      </c>
      <c r="U12" s="1">
        <v>147603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93632</v>
      </c>
      <c r="P13" s="117">
        <v>102095</v>
      </c>
      <c r="Q13" s="117">
        <v>116062</v>
      </c>
      <c r="R13" s="2">
        <v>121563</v>
      </c>
      <c r="S13" s="1">
        <v>130238</v>
      </c>
      <c r="T13" s="1">
        <v>145342</v>
      </c>
      <c r="U13" s="1">
        <v>145727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92561</v>
      </c>
      <c r="P14" s="117">
        <v>107691</v>
      </c>
      <c r="Q14" s="117">
        <v>110068</v>
      </c>
      <c r="R14" s="1">
        <v>116189</v>
      </c>
      <c r="S14" s="1">
        <v>130589</v>
      </c>
      <c r="T14" s="1">
        <v>136915</v>
      </c>
      <c r="U14" s="1">
        <v>145319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61824</v>
      </c>
      <c r="P15" s="117">
        <v>80201</v>
      </c>
      <c r="Q15" s="117">
        <v>75238</v>
      </c>
      <c r="R15" s="1">
        <v>81963</v>
      </c>
      <c r="S15" s="1">
        <v>94554</v>
      </c>
      <c r="T15" s="1">
        <v>107091</v>
      </c>
      <c r="U15" s="1">
        <v>101589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36549</v>
      </c>
      <c r="P16" s="95">
        <v>47851</v>
      </c>
      <c r="Q16" s="95">
        <v>44392</v>
      </c>
      <c r="R16" s="1">
        <v>49039</v>
      </c>
      <c r="S16" s="1">
        <v>58452</v>
      </c>
      <c r="T16" s="1">
        <v>72060</v>
      </c>
      <c r="U16" s="1">
        <v>60114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656186</v>
      </c>
      <c r="P17" s="96">
        <f>SUM(P5:P16)</f>
        <v>806536</v>
      </c>
      <c r="Q17" s="96">
        <f>SUM(Q5:Q16)</f>
        <v>881058</v>
      </c>
      <c r="R17" s="126">
        <f t="shared" ref="R17" si="0">SUM(R5:R16)</f>
        <v>865688</v>
      </c>
      <c r="S17" s="126">
        <f>SUM(S5:S16)</f>
        <v>1099023</v>
      </c>
      <c r="T17" s="126">
        <f>SUM(T5:T16)</f>
        <v>1195146</v>
      </c>
      <c r="U17" s="126">
        <f>SUM(U5:U16)</f>
        <v>1216335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276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0</v>
      </c>
      <c r="P24" s="117">
        <v>2166</v>
      </c>
      <c r="Q24" s="117">
        <v>1952</v>
      </c>
      <c r="R24" s="1">
        <v>3025</v>
      </c>
      <c r="S24" s="1">
        <v>1957</v>
      </c>
      <c r="T24" s="1">
        <v>2438</v>
      </c>
      <c r="U24" s="1">
        <v>2071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995</v>
      </c>
      <c r="P25" s="117">
        <v>1257</v>
      </c>
      <c r="Q25" s="117">
        <v>843</v>
      </c>
      <c r="R25" s="1">
        <v>2333</v>
      </c>
      <c r="S25" s="1">
        <v>1263</v>
      </c>
      <c r="T25" s="1">
        <v>2696</v>
      </c>
      <c r="U25" s="1">
        <v>2604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912</v>
      </c>
      <c r="P26" s="117">
        <v>1352</v>
      </c>
      <c r="Q26" s="117">
        <v>1501</v>
      </c>
      <c r="R26" s="1">
        <v>1513</v>
      </c>
      <c r="S26" s="1">
        <v>852</v>
      </c>
      <c r="T26" s="1">
        <v>825</v>
      </c>
      <c r="U26" s="1">
        <v>1376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>
        <v>1366</v>
      </c>
      <c r="P27" s="117">
        <v>2786</v>
      </c>
      <c r="Q27" s="117">
        <v>1445</v>
      </c>
      <c r="R27" s="1">
        <v>1949</v>
      </c>
      <c r="S27" s="1">
        <v>1259</v>
      </c>
      <c r="T27" s="1">
        <v>5164</v>
      </c>
      <c r="U27" s="1">
        <v>1615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>
        <v>2118</v>
      </c>
      <c r="P28" s="117">
        <v>768</v>
      </c>
      <c r="Q28" s="117">
        <v>993</v>
      </c>
      <c r="R28" s="1">
        <v>878</v>
      </c>
      <c r="S28" s="1">
        <v>1608</v>
      </c>
      <c r="T28" s="1">
        <v>1294</v>
      </c>
      <c r="U28" s="1">
        <v>1033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>
        <v>1823</v>
      </c>
      <c r="P29" s="117">
        <v>1365</v>
      </c>
      <c r="Q29" s="117">
        <v>1169</v>
      </c>
      <c r="R29" s="1">
        <v>2459</v>
      </c>
      <c r="S29" s="1">
        <v>2464</v>
      </c>
      <c r="T29" s="1">
        <v>1997</v>
      </c>
      <c r="U29" s="1">
        <v>1096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1387</v>
      </c>
      <c r="P30" s="117">
        <v>2541</v>
      </c>
      <c r="Q30" s="117">
        <v>1779</v>
      </c>
      <c r="R30" s="1">
        <v>3326</v>
      </c>
      <c r="S30" s="1">
        <v>3737</v>
      </c>
      <c r="T30" s="1">
        <v>2414</v>
      </c>
      <c r="U30" s="1">
        <v>3547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4443</v>
      </c>
      <c r="P31" s="117">
        <v>3156</v>
      </c>
      <c r="Q31" s="117">
        <v>2442</v>
      </c>
      <c r="R31" s="1">
        <v>4371</v>
      </c>
      <c r="S31" s="1">
        <v>8407</v>
      </c>
      <c r="T31" s="1">
        <v>6549</v>
      </c>
      <c r="U31" s="1">
        <v>1869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1753</v>
      </c>
      <c r="P32" s="117">
        <v>1107</v>
      </c>
      <c r="Q32" s="117">
        <v>1873</v>
      </c>
      <c r="R32" s="2">
        <v>2666</v>
      </c>
      <c r="S32" s="1">
        <v>4023</v>
      </c>
      <c r="T32" s="1">
        <v>552</v>
      </c>
      <c r="U32" s="1">
        <v>1238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2620</v>
      </c>
      <c r="P33" s="117">
        <v>1882</v>
      </c>
      <c r="Q33" s="117">
        <v>2252</v>
      </c>
      <c r="R33" s="1">
        <v>2796</v>
      </c>
      <c r="S33" s="1">
        <v>4242</v>
      </c>
      <c r="T33" s="1">
        <v>2801</v>
      </c>
      <c r="U33" s="1">
        <v>4269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2527</v>
      </c>
      <c r="P34" s="117">
        <v>2199</v>
      </c>
      <c r="Q34" s="117">
        <v>2435</v>
      </c>
      <c r="R34" s="1">
        <v>1896</v>
      </c>
      <c r="S34" s="1">
        <v>4373</v>
      </c>
      <c r="T34" s="1">
        <v>1627</v>
      </c>
      <c r="U34" s="1">
        <v>2086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1448</v>
      </c>
      <c r="P35" s="95">
        <v>2345</v>
      </c>
      <c r="Q35" s="95">
        <v>1573</v>
      </c>
      <c r="R35" s="1">
        <v>1755</v>
      </c>
      <c r="S35" s="1">
        <v>3617</v>
      </c>
      <c r="T35" s="1">
        <v>3407</v>
      </c>
      <c r="U35" s="1">
        <v>957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21392</v>
      </c>
      <c r="P36" s="96">
        <f>SUM(P24:P35)</f>
        <v>22924</v>
      </c>
      <c r="Q36" s="96">
        <f>SUM(Q24:Q35)</f>
        <v>20257</v>
      </c>
      <c r="R36" s="126">
        <f t="shared" ref="R36" si="1">SUM(R24:R35)</f>
        <v>28967</v>
      </c>
      <c r="S36" s="126">
        <f>SUM(S24:S35)</f>
        <v>37802</v>
      </c>
      <c r="T36" s="126">
        <f>SUM(T24:T35)</f>
        <v>31764</v>
      </c>
      <c r="U36" s="126">
        <f>SUM(U24:U35)</f>
        <v>23761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0</v>
      </c>
      <c r="Q43" s="117">
        <v>-43</v>
      </c>
      <c r="R43" s="1">
        <v>-1560</v>
      </c>
      <c r="S43" s="117">
        <v>0</v>
      </c>
      <c r="T43" s="117">
        <v>-222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0</v>
      </c>
      <c r="Q44" s="117">
        <v>-322</v>
      </c>
      <c r="R44" s="1">
        <v>-68</v>
      </c>
      <c r="S44" s="117">
        <v>0</v>
      </c>
      <c r="T44" s="117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>
        <v>0</v>
      </c>
      <c r="P45" s="117">
        <v>0</v>
      </c>
      <c r="Q45" s="117">
        <v>0</v>
      </c>
      <c r="R45" s="1">
        <v>-461</v>
      </c>
      <c r="S45" s="117">
        <v>0</v>
      </c>
      <c r="T45" s="117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>
        <v>0</v>
      </c>
      <c r="P46" s="117">
        <v>-45</v>
      </c>
      <c r="Q46" s="117">
        <v>0</v>
      </c>
      <c r="R46" s="117">
        <v>-126</v>
      </c>
      <c r="S46" s="117">
        <v>0</v>
      </c>
      <c r="T46" s="1">
        <v>-793</v>
      </c>
      <c r="U46" s="117">
        <v>-323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>
        <v>0</v>
      </c>
      <c r="P47" s="117">
        <v>0</v>
      </c>
      <c r="Q47" s="117">
        <v>0</v>
      </c>
      <c r="R47" s="1">
        <v>-1335</v>
      </c>
      <c r="S47" s="117">
        <v>0</v>
      </c>
      <c r="T47" s="117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0</v>
      </c>
      <c r="Q48" s="117">
        <v>0</v>
      </c>
      <c r="R48" s="1">
        <v>-49</v>
      </c>
      <c r="S48" s="117">
        <v>0</v>
      </c>
      <c r="T48" s="117">
        <v>0</v>
      </c>
      <c r="U48" s="117">
        <v>-1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0</v>
      </c>
      <c r="Q49" s="117">
        <v>0</v>
      </c>
      <c r="R49" s="1">
        <v>-543</v>
      </c>
      <c r="S49" s="117">
        <v>0</v>
      </c>
      <c r="T49" s="117">
        <v>0</v>
      </c>
      <c r="U49" s="117">
        <v>-20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-142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-225</v>
      </c>
      <c r="R52" s="117">
        <v>0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-2</v>
      </c>
      <c r="Q53" s="168">
        <v>-44</v>
      </c>
      <c r="R53" s="168">
        <v>0</v>
      </c>
      <c r="S53" s="168">
        <v>0</v>
      </c>
      <c r="T53" s="168">
        <v>-60</v>
      </c>
      <c r="U53" s="168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-47</v>
      </c>
      <c r="Q54" s="96">
        <f>SUM(Q42:Q53)</f>
        <v>-634</v>
      </c>
      <c r="R54" s="126">
        <f t="shared" ref="R54" si="2">SUM(R42:R53)</f>
        <v>-4142</v>
      </c>
      <c r="S54" s="126">
        <f>SUM(S42:S53)</f>
        <v>0</v>
      </c>
      <c r="T54" s="126">
        <f>SUM(T42:T53)</f>
        <v>-1217</v>
      </c>
      <c r="U54" s="126">
        <f>SUM(U42:U53)</f>
        <v>-344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7109375" customWidth="1"/>
    <col min="7" max="7" width="5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213</v>
      </c>
    </row>
    <row r="2" spans="1:21" x14ac:dyDescent="0.2">
      <c r="A2" s="24" t="s">
        <v>84</v>
      </c>
      <c r="B2" s="6">
        <v>5.0000000000000001E-3</v>
      </c>
      <c r="D2" s="94" t="s">
        <v>212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41</v>
      </c>
      <c r="O5" s="117">
        <v>164842</v>
      </c>
      <c r="P5" s="117">
        <v>173887</v>
      </c>
      <c r="Q5" s="117">
        <v>174667</v>
      </c>
      <c r="R5" s="1">
        <v>173022</v>
      </c>
      <c r="S5" s="1">
        <v>185354</v>
      </c>
      <c r="T5" s="1">
        <v>209697</v>
      </c>
      <c r="U5" s="1">
        <v>223835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119570</v>
      </c>
      <c r="O6" s="117">
        <v>149642</v>
      </c>
      <c r="P6" s="117">
        <v>136209</v>
      </c>
      <c r="Q6" s="117">
        <v>137273</v>
      </c>
      <c r="R6" s="1">
        <v>142810</v>
      </c>
      <c r="S6" s="1">
        <v>157347</v>
      </c>
      <c r="T6" s="1">
        <v>175773</v>
      </c>
      <c r="U6" s="1">
        <v>180964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123751</v>
      </c>
      <c r="O7" s="117">
        <v>121343</v>
      </c>
      <c r="P7" s="117">
        <v>120038</v>
      </c>
      <c r="Q7" s="117">
        <v>127731</v>
      </c>
      <c r="R7" s="1">
        <v>143037</v>
      </c>
      <c r="S7" s="1">
        <v>147490</v>
      </c>
      <c r="T7" s="1">
        <v>170693</v>
      </c>
      <c r="U7" s="1">
        <v>178783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143557</v>
      </c>
      <c r="O8" s="117">
        <v>145100</v>
      </c>
      <c r="P8" s="117">
        <v>144930</v>
      </c>
      <c r="Q8" s="117">
        <v>156027</v>
      </c>
      <c r="R8" s="1">
        <v>150494</v>
      </c>
      <c r="S8" s="1">
        <v>196100</v>
      </c>
      <c r="T8" s="1">
        <v>209372</v>
      </c>
      <c r="U8" s="1">
        <v>209487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145984</v>
      </c>
      <c r="O9" s="117">
        <v>143159</v>
      </c>
      <c r="P9" s="117">
        <v>130061</v>
      </c>
      <c r="Q9" s="117">
        <v>166641</v>
      </c>
      <c r="R9" s="1">
        <v>156766</v>
      </c>
      <c r="S9" s="1">
        <v>198244</v>
      </c>
      <c r="T9" s="1">
        <v>184594</v>
      </c>
      <c r="U9" s="1">
        <v>209462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152627</v>
      </c>
      <c r="O10" s="117">
        <v>157962</v>
      </c>
      <c r="P10" s="117">
        <v>168746</v>
      </c>
      <c r="Q10" s="117">
        <v>185836</v>
      </c>
      <c r="R10" s="1">
        <v>195162</v>
      </c>
      <c r="S10" s="1">
        <v>192312</v>
      </c>
      <c r="T10" s="1">
        <v>226245</v>
      </c>
      <c r="U10" s="1">
        <v>233338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157537</v>
      </c>
      <c r="O11" s="117">
        <v>154153</v>
      </c>
      <c r="P11" s="117">
        <v>162774</v>
      </c>
      <c r="Q11" s="117">
        <v>177301</v>
      </c>
      <c r="R11" s="1">
        <v>195497</v>
      </c>
      <c r="S11" s="1">
        <v>232081</v>
      </c>
      <c r="T11" s="1">
        <v>247878</v>
      </c>
      <c r="U11" s="1">
        <v>261476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170509</v>
      </c>
      <c r="O12" s="117">
        <v>168342</v>
      </c>
      <c r="P12" s="117">
        <v>184045</v>
      </c>
      <c r="Q12" s="117">
        <v>199697</v>
      </c>
      <c r="R12" s="1">
        <v>213115</v>
      </c>
      <c r="S12" s="1">
        <v>213901</v>
      </c>
      <c r="T12" s="1">
        <v>203184</v>
      </c>
      <c r="U12" s="1">
        <v>231143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161911</v>
      </c>
      <c r="O13" s="117">
        <v>153565</v>
      </c>
      <c r="P13" s="117">
        <v>177929</v>
      </c>
      <c r="Q13" s="117">
        <v>187054</v>
      </c>
      <c r="R13" s="2">
        <v>208378</v>
      </c>
      <c r="S13" s="1">
        <v>190664</v>
      </c>
      <c r="T13" s="1">
        <v>244907</v>
      </c>
      <c r="U13" s="1">
        <v>242343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157256</v>
      </c>
      <c r="O14" s="117">
        <v>156401</v>
      </c>
      <c r="P14" s="117">
        <v>175993</v>
      </c>
      <c r="Q14" s="117">
        <v>177539</v>
      </c>
      <c r="R14" s="1">
        <v>193118</v>
      </c>
      <c r="S14" s="1">
        <v>217795</v>
      </c>
      <c r="T14" s="1">
        <v>234661</v>
      </c>
      <c r="U14" s="1">
        <v>237292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144947</v>
      </c>
      <c r="O15" s="117">
        <v>156795</v>
      </c>
      <c r="P15" s="117">
        <v>177704</v>
      </c>
      <c r="Q15" s="117">
        <v>182992</v>
      </c>
      <c r="R15" s="1">
        <v>181153</v>
      </c>
      <c r="S15" s="1">
        <v>198123</v>
      </c>
      <c r="T15" s="1">
        <v>220443</v>
      </c>
      <c r="U15" s="1">
        <v>222652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139372</v>
      </c>
      <c r="O16" s="95">
        <v>148241</v>
      </c>
      <c r="P16" s="95">
        <v>162588</v>
      </c>
      <c r="Q16" s="95">
        <v>172327</v>
      </c>
      <c r="R16" s="1">
        <v>173360</v>
      </c>
      <c r="S16" s="1">
        <v>200508</v>
      </c>
      <c r="T16" s="1">
        <v>223313</v>
      </c>
      <c r="U16" s="1">
        <v>204810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1617062</v>
      </c>
      <c r="O17" s="96">
        <f>SUM(O5:O16)</f>
        <v>1819545</v>
      </c>
      <c r="P17" s="96">
        <f>SUM(P5:P16)</f>
        <v>1914904</v>
      </c>
      <c r="Q17" s="96">
        <f>SUM(Q5:Q16)</f>
        <v>2045085</v>
      </c>
      <c r="R17" s="126">
        <f t="shared" ref="R17" si="0">SUM(R5:R16)</f>
        <v>2125912</v>
      </c>
      <c r="S17" s="126">
        <f>SUM(S5:S16)</f>
        <v>2329919</v>
      </c>
      <c r="T17" s="126">
        <f t="shared" ref="T17" si="1">SUM(T5:T16)</f>
        <v>2550760</v>
      </c>
      <c r="U17" s="126">
        <f>SUM(U5:U16)</f>
        <v>2635585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0</v>
      </c>
      <c r="O24" s="117">
        <v>9995</v>
      </c>
      <c r="P24" s="117">
        <v>10158</v>
      </c>
      <c r="Q24" s="117">
        <v>9259</v>
      </c>
      <c r="R24" s="1">
        <v>7100</v>
      </c>
      <c r="S24" s="1">
        <v>9380</v>
      </c>
      <c r="T24" s="1">
        <v>7869</v>
      </c>
      <c r="U24" s="1">
        <v>23157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4503</v>
      </c>
      <c r="O25" s="117">
        <v>5177</v>
      </c>
      <c r="P25" s="117">
        <v>8857</v>
      </c>
      <c r="Q25" s="117">
        <v>10585</v>
      </c>
      <c r="R25" s="1">
        <v>6353</v>
      </c>
      <c r="S25" s="1">
        <v>5716</v>
      </c>
      <c r="T25" s="1">
        <v>7120</v>
      </c>
      <c r="U25" s="1">
        <v>10137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3833</v>
      </c>
      <c r="O26" s="117">
        <v>3896</v>
      </c>
      <c r="P26" s="117">
        <v>6840</v>
      </c>
      <c r="Q26" s="117">
        <v>4032</v>
      </c>
      <c r="R26" s="1">
        <v>4591</v>
      </c>
      <c r="S26" s="1">
        <v>4205</v>
      </c>
      <c r="T26" s="1">
        <v>7970</v>
      </c>
      <c r="U26" s="1">
        <v>6141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7464</v>
      </c>
      <c r="O27" s="117">
        <v>6041</v>
      </c>
      <c r="P27" s="117">
        <v>6292</v>
      </c>
      <c r="Q27" s="117">
        <v>6783</v>
      </c>
      <c r="R27" s="1">
        <v>6678</v>
      </c>
      <c r="S27" s="1">
        <v>8384</v>
      </c>
      <c r="T27" s="1">
        <v>8344</v>
      </c>
      <c r="U27" s="1">
        <v>8414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5969</v>
      </c>
      <c r="O28" s="117">
        <v>6376</v>
      </c>
      <c r="P28" s="117">
        <v>4649</v>
      </c>
      <c r="Q28" s="117">
        <v>8075</v>
      </c>
      <c r="R28" s="1">
        <v>6635</v>
      </c>
      <c r="S28" s="1">
        <v>8175</v>
      </c>
      <c r="T28" s="1">
        <v>9396</v>
      </c>
      <c r="U28" s="1">
        <v>6899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8451</v>
      </c>
      <c r="O29" s="117">
        <v>5882</v>
      </c>
      <c r="P29" s="117">
        <v>6181</v>
      </c>
      <c r="Q29" s="117">
        <v>7570</v>
      </c>
      <c r="R29" s="113">
        <v>6536</v>
      </c>
      <c r="S29" s="1">
        <v>5772</v>
      </c>
      <c r="T29" s="1">
        <v>9324</v>
      </c>
      <c r="U29" s="1">
        <v>9731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10433</v>
      </c>
      <c r="O30" s="117">
        <v>8140</v>
      </c>
      <c r="P30" s="117">
        <v>6724</v>
      </c>
      <c r="Q30" s="117">
        <v>8380</v>
      </c>
      <c r="R30" s="1">
        <v>7918</v>
      </c>
      <c r="S30" s="1">
        <v>7695</v>
      </c>
      <c r="T30" s="1">
        <v>10819</v>
      </c>
      <c r="U30" s="1">
        <v>18685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7606</v>
      </c>
      <c r="O31" s="117">
        <v>8099</v>
      </c>
      <c r="P31" s="117">
        <v>11647</v>
      </c>
      <c r="Q31" s="117">
        <v>8893</v>
      </c>
      <c r="R31" s="1">
        <v>11660</v>
      </c>
      <c r="S31" s="1">
        <v>7665</v>
      </c>
      <c r="T31" s="1">
        <v>7083</v>
      </c>
      <c r="U31" s="1">
        <v>8236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7848</v>
      </c>
      <c r="O32" s="117">
        <v>6783</v>
      </c>
      <c r="P32" s="117">
        <v>6652</v>
      </c>
      <c r="Q32" s="117">
        <v>8613</v>
      </c>
      <c r="R32" s="2">
        <v>7306</v>
      </c>
      <c r="S32" s="1">
        <v>9306</v>
      </c>
      <c r="T32" s="1">
        <v>10611</v>
      </c>
      <c r="U32" s="1">
        <v>12102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10229</v>
      </c>
      <c r="O33" s="117">
        <v>10007</v>
      </c>
      <c r="P33" s="117">
        <v>6492</v>
      </c>
      <c r="Q33" s="117">
        <v>7128</v>
      </c>
      <c r="R33" s="1">
        <v>7372</v>
      </c>
      <c r="S33" s="1">
        <v>9163</v>
      </c>
      <c r="T33" s="1">
        <v>9203</v>
      </c>
      <c r="U33" s="1">
        <v>8720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6640</v>
      </c>
      <c r="O34" s="117">
        <v>6249</v>
      </c>
      <c r="P34" s="117">
        <v>10264</v>
      </c>
      <c r="Q34" s="117">
        <v>5747</v>
      </c>
      <c r="R34" s="1">
        <v>6149</v>
      </c>
      <c r="S34" s="1">
        <v>10460</v>
      </c>
      <c r="T34" s="1">
        <v>8354</v>
      </c>
      <c r="U34" s="1">
        <v>8304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4893</v>
      </c>
      <c r="O35" s="95">
        <v>3003</v>
      </c>
      <c r="P35" s="95">
        <v>12749</v>
      </c>
      <c r="Q35" s="95">
        <v>5974</v>
      </c>
      <c r="R35" s="1">
        <v>5169</v>
      </c>
      <c r="S35" s="1">
        <v>8228</v>
      </c>
      <c r="T35" s="1">
        <v>7747</v>
      </c>
      <c r="U35" s="1">
        <v>7649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77869</v>
      </c>
      <c r="O36" s="96">
        <f>SUM(O24:O35)</f>
        <v>79648</v>
      </c>
      <c r="P36" s="96">
        <f>SUM(P24:P35)</f>
        <v>97505</v>
      </c>
      <c r="Q36" s="96">
        <f>SUM(Q24:Q35)</f>
        <v>91039</v>
      </c>
      <c r="R36" s="126">
        <f t="shared" ref="R36" si="2">SUM(R24:R35)</f>
        <v>83467</v>
      </c>
      <c r="S36" s="126">
        <f>SUM(S24:S35)</f>
        <v>94149</v>
      </c>
      <c r="T36" s="126">
        <f t="shared" ref="T36" si="3">SUM(T24:T35)</f>
        <v>103840</v>
      </c>
      <c r="U36" s="126">
        <f>SUM(U24:U35)</f>
        <v>128175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0</v>
      </c>
      <c r="O42" s="117">
        <v>-3630</v>
      </c>
      <c r="P42" s="117">
        <v>-304</v>
      </c>
      <c r="Q42" s="117">
        <v>0</v>
      </c>
      <c r="R42" s="1">
        <v>-16</v>
      </c>
      <c r="S42" s="117">
        <v>0</v>
      </c>
      <c r="T42" s="1">
        <v>-127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0</v>
      </c>
      <c r="O43" s="117">
        <v>-1712</v>
      </c>
      <c r="P43" s="117">
        <v>-1254</v>
      </c>
      <c r="Q43" s="117">
        <v>0</v>
      </c>
      <c r="R43" s="1">
        <v>-1868</v>
      </c>
      <c r="S43" s="117">
        <v>0</v>
      </c>
      <c r="T43" s="1">
        <v>0</v>
      </c>
      <c r="U43" s="1">
        <v>-2171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0</v>
      </c>
      <c r="O44" s="117">
        <v>0</v>
      </c>
      <c r="P44" s="117">
        <v>-3020</v>
      </c>
      <c r="Q44" s="117">
        <v>0</v>
      </c>
      <c r="R44" s="1">
        <v>-1000</v>
      </c>
      <c r="S44" s="117">
        <v>-8</v>
      </c>
      <c r="T44" s="1">
        <v>0</v>
      </c>
      <c r="U44" s="117">
        <v>-819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">
        <v>-332</v>
      </c>
      <c r="U45" s="117">
        <v>-320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0</v>
      </c>
      <c r="Q46" s="117">
        <v>-212</v>
      </c>
      <c r="R46" s="117">
        <v>-41</v>
      </c>
      <c r="S46" s="117">
        <v>0</v>
      </c>
      <c r="T46" s="1">
        <v>0</v>
      </c>
      <c r="U46" s="117">
        <v>-9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0</v>
      </c>
      <c r="P47" s="117">
        <v>-677</v>
      </c>
      <c r="Q47" s="117">
        <v>-211</v>
      </c>
      <c r="R47" s="1">
        <v>-1489</v>
      </c>
      <c r="S47" s="117">
        <v>0</v>
      </c>
      <c r="T47" s="1">
        <v>0</v>
      </c>
      <c r="U47" s="117">
        <v>-32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-211</v>
      </c>
      <c r="O48" s="117">
        <v>0</v>
      </c>
      <c r="P48" s="117">
        <v>0</v>
      </c>
      <c r="Q48" s="117">
        <v>-918</v>
      </c>
      <c r="R48" s="1">
        <v>0</v>
      </c>
      <c r="S48" s="117">
        <v>0</v>
      </c>
      <c r="T48" s="1">
        <v>-690</v>
      </c>
      <c r="U48" s="117">
        <v>-6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-208</v>
      </c>
      <c r="O49" s="117">
        <v>-68</v>
      </c>
      <c r="P49" s="117">
        <v>0</v>
      </c>
      <c r="Q49" s="117">
        <v>-151</v>
      </c>
      <c r="R49" s="117">
        <v>-6088</v>
      </c>
      <c r="S49" s="117">
        <v>-8</v>
      </c>
      <c r="T49" s="1">
        <v>0</v>
      </c>
      <c r="U49" s="117">
        <v>-14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-2616</v>
      </c>
      <c r="P50" s="117">
        <v>-80</v>
      </c>
      <c r="Q50" s="117">
        <v>-1791</v>
      </c>
      <c r="R50" s="2">
        <v>-367</v>
      </c>
      <c r="S50" s="117">
        <v>0</v>
      </c>
      <c r="T50" s="1">
        <v>-1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-119</v>
      </c>
      <c r="O51" s="117">
        <v>-45</v>
      </c>
      <c r="P51" s="117">
        <v>-89</v>
      </c>
      <c r="Q51" s="117">
        <v>-15</v>
      </c>
      <c r="R51" s="117">
        <v>-82</v>
      </c>
      <c r="S51" s="117">
        <v>-375</v>
      </c>
      <c r="T51" s="1">
        <v>-641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-833</v>
      </c>
      <c r="O52" s="117">
        <v>-50</v>
      </c>
      <c r="P52" s="117">
        <v>-295</v>
      </c>
      <c r="Q52" s="117">
        <v>-1853</v>
      </c>
      <c r="R52" s="117">
        <v>0</v>
      </c>
      <c r="S52" s="117">
        <v>0</v>
      </c>
      <c r="T52" s="1">
        <v>0</v>
      </c>
      <c r="U52" s="117">
        <v>-7520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0</v>
      </c>
      <c r="O53" s="168">
        <v>-1344</v>
      </c>
      <c r="P53" s="168">
        <v>0</v>
      </c>
      <c r="Q53" s="168">
        <v>-952</v>
      </c>
      <c r="R53" s="1">
        <v>-1338</v>
      </c>
      <c r="S53" s="182">
        <v>-5</v>
      </c>
      <c r="T53" s="1">
        <v>-89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-1371</v>
      </c>
      <c r="O54" s="96">
        <f>SUM(O42:O53)</f>
        <v>-9465</v>
      </c>
      <c r="P54" s="96">
        <f>SUM(P42:P53)</f>
        <v>-5719</v>
      </c>
      <c r="Q54" s="96">
        <f>SUM(Q42:Q53)</f>
        <v>-6103</v>
      </c>
      <c r="R54" s="126">
        <f t="shared" ref="R54" si="4">SUM(R42:R53)</f>
        <v>-12289</v>
      </c>
      <c r="S54" s="126">
        <f>SUM(S42:S53)</f>
        <v>-396</v>
      </c>
      <c r="T54" s="126">
        <f t="shared" ref="T54" si="5">SUM(T42:T53)</f>
        <v>-1880</v>
      </c>
      <c r="U54" s="126">
        <f>SUM(U42:U53)</f>
        <v>-10891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6" customWidth="1"/>
    <col min="7" max="7" width="6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214</v>
      </c>
    </row>
    <row r="2" spans="1:21" x14ac:dyDescent="0.2">
      <c r="A2" s="24" t="s">
        <v>84</v>
      </c>
      <c r="B2" s="6">
        <v>5.0000000000000001E-3</v>
      </c>
      <c r="D2" s="94" t="s">
        <v>212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>
        <v>303</v>
      </c>
      <c r="O5" s="117">
        <v>262880</v>
      </c>
      <c r="P5" s="117">
        <v>274160</v>
      </c>
      <c r="Q5" s="117">
        <v>277787</v>
      </c>
      <c r="R5" s="1">
        <v>310363</v>
      </c>
      <c r="S5" s="1">
        <v>347984</v>
      </c>
      <c r="T5" s="1">
        <v>370925</v>
      </c>
      <c r="U5" s="1">
        <v>413625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>
        <v>164395</v>
      </c>
      <c r="O6" s="117">
        <v>209287</v>
      </c>
      <c r="P6" s="117">
        <v>211837</v>
      </c>
      <c r="Q6" s="117">
        <v>233155</v>
      </c>
      <c r="R6" s="1">
        <v>237111</v>
      </c>
      <c r="S6" s="1">
        <v>272645</v>
      </c>
      <c r="T6" s="1">
        <v>321567</v>
      </c>
      <c r="U6" s="1">
        <v>335384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>
        <v>182863</v>
      </c>
      <c r="O7" s="117">
        <v>182699</v>
      </c>
      <c r="P7" s="117">
        <v>187070</v>
      </c>
      <c r="Q7" s="117">
        <v>201103</v>
      </c>
      <c r="R7" s="1">
        <v>226325</v>
      </c>
      <c r="S7" s="1">
        <v>273640</v>
      </c>
      <c r="T7" s="1">
        <v>257471</v>
      </c>
      <c r="U7" s="1">
        <v>306025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226113</v>
      </c>
      <c r="O8" s="117">
        <v>224685</v>
      </c>
      <c r="P8" s="117">
        <v>230510</v>
      </c>
      <c r="Q8" s="117">
        <v>242213</v>
      </c>
      <c r="R8" s="1">
        <v>249049</v>
      </c>
      <c r="S8" s="1">
        <v>353001</v>
      </c>
      <c r="T8" s="1">
        <v>357634</v>
      </c>
      <c r="U8" s="1">
        <v>356744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238937</v>
      </c>
      <c r="O9" s="117">
        <v>251150</v>
      </c>
      <c r="P9" s="117">
        <v>244933</v>
      </c>
      <c r="Q9" s="117">
        <v>264052</v>
      </c>
      <c r="R9" s="1">
        <v>271012</v>
      </c>
      <c r="S9" s="1">
        <v>348296</v>
      </c>
      <c r="T9" s="1">
        <v>342801</v>
      </c>
      <c r="U9" s="1">
        <v>357489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280744</v>
      </c>
      <c r="O10" s="117">
        <v>314947</v>
      </c>
      <c r="P10" s="117">
        <v>343132</v>
      </c>
      <c r="Q10" s="117">
        <v>339520</v>
      </c>
      <c r="R10" s="1">
        <v>381059</v>
      </c>
      <c r="S10" s="1">
        <v>408542</v>
      </c>
      <c r="T10" s="1">
        <v>478413</v>
      </c>
      <c r="U10" s="1">
        <v>499058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292474</v>
      </c>
      <c r="O11" s="117">
        <v>309219</v>
      </c>
      <c r="P11" s="117">
        <v>328571</v>
      </c>
      <c r="Q11" s="117">
        <v>345135</v>
      </c>
      <c r="R11" s="1">
        <v>399018</v>
      </c>
      <c r="S11" s="1">
        <v>450425</v>
      </c>
      <c r="T11" s="1">
        <v>535936</v>
      </c>
      <c r="U11" s="1">
        <v>586149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349114</v>
      </c>
      <c r="O12" s="117">
        <v>363975</v>
      </c>
      <c r="P12" s="117">
        <v>376159</v>
      </c>
      <c r="Q12" s="117">
        <v>391166</v>
      </c>
      <c r="R12" s="1">
        <v>427934</v>
      </c>
      <c r="S12" s="1">
        <v>475047</v>
      </c>
      <c r="T12" s="1">
        <v>500843</v>
      </c>
      <c r="U12" s="1">
        <v>514895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265028</v>
      </c>
      <c r="O13" s="117">
        <v>281985</v>
      </c>
      <c r="P13" s="117">
        <v>316990</v>
      </c>
      <c r="Q13" s="117">
        <v>333338</v>
      </c>
      <c r="R13" s="2">
        <v>366714</v>
      </c>
      <c r="S13" s="1">
        <v>409453</v>
      </c>
      <c r="T13" s="1">
        <v>471363</v>
      </c>
      <c r="U13" s="1">
        <v>513109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277567</v>
      </c>
      <c r="O14" s="117">
        <v>293379</v>
      </c>
      <c r="P14" s="117">
        <v>308764</v>
      </c>
      <c r="Q14" s="117">
        <v>315288</v>
      </c>
      <c r="R14" s="1">
        <v>373741</v>
      </c>
      <c r="S14" s="1">
        <v>405476</v>
      </c>
      <c r="T14" s="1">
        <v>456124</v>
      </c>
      <c r="U14" s="1">
        <v>467125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238980</v>
      </c>
      <c r="O15" s="117">
        <v>262035</v>
      </c>
      <c r="P15" s="117">
        <v>302080</v>
      </c>
      <c r="Q15" s="117">
        <v>304039</v>
      </c>
      <c r="R15" s="1">
        <v>320883</v>
      </c>
      <c r="S15" s="1">
        <v>361577</v>
      </c>
      <c r="T15" s="1">
        <v>406288</v>
      </c>
      <c r="U15" s="1">
        <v>437389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220053</v>
      </c>
      <c r="O16" s="95">
        <v>244668</v>
      </c>
      <c r="P16" s="95">
        <v>259993</v>
      </c>
      <c r="Q16" s="95">
        <v>266176</v>
      </c>
      <c r="R16" s="1">
        <v>300726</v>
      </c>
      <c r="S16" s="1">
        <v>358385</v>
      </c>
      <c r="T16" s="1">
        <v>397848</v>
      </c>
      <c r="U16" s="1">
        <v>394723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2736571</v>
      </c>
      <c r="O17" s="96">
        <f>SUM(O5:O16)</f>
        <v>3200909</v>
      </c>
      <c r="P17" s="96">
        <f>SUM(P5:P16)</f>
        <v>3384199</v>
      </c>
      <c r="Q17" s="96">
        <f>SUM(Q5:Q16)</f>
        <v>3512972</v>
      </c>
      <c r="R17" s="126">
        <f t="shared" ref="R17" si="0">SUM(R5:R16)</f>
        <v>3863935</v>
      </c>
      <c r="S17" s="126">
        <f>SUM(S5:S16)</f>
        <v>4464471</v>
      </c>
      <c r="T17" s="126">
        <f t="shared" ref="T17" si="1">SUM(T5:T16)</f>
        <v>4897213</v>
      </c>
      <c r="U17" s="126">
        <f>SUM(U5:U16)</f>
        <v>5181715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>
        <v>9</v>
      </c>
      <c r="O24" s="117">
        <v>17892</v>
      </c>
      <c r="P24" s="117">
        <v>17920</v>
      </c>
      <c r="Q24" s="117">
        <v>20308</v>
      </c>
      <c r="R24" s="1">
        <v>17763</v>
      </c>
      <c r="S24" s="1">
        <v>27450</v>
      </c>
      <c r="T24" s="1">
        <v>23028</v>
      </c>
      <c r="U24" s="1">
        <v>42346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>
        <v>14201</v>
      </c>
      <c r="O25" s="117">
        <v>13677</v>
      </c>
      <c r="P25" s="117">
        <v>17507</v>
      </c>
      <c r="Q25" s="117">
        <v>17642</v>
      </c>
      <c r="R25" s="1">
        <v>15835</v>
      </c>
      <c r="S25" s="1">
        <v>17429</v>
      </c>
      <c r="T25" s="1">
        <v>18962</v>
      </c>
      <c r="U25" s="1">
        <v>25506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>
        <v>17536</v>
      </c>
      <c r="O26" s="117">
        <v>12325</v>
      </c>
      <c r="P26" s="117">
        <v>12401</v>
      </c>
      <c r="Q26" s="117">
        <v>14119</v>
      </c>
      <c r="R26" s="1">
        <v>10683</v>
      </c>
      <c r="S26" s="1">
        <v>14234</v>
      </c>
      <c r="T26" s="1">
        <v>15139</v>
      </c>
      <c r="U26" s="1">
        <v>34862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11995</v>
      </c>
      <c r="O27" s="117">
        <v>17379</v>
      </c>
      <c r="P27" s="117">
        <v>15091</v>
      </c>
      <c r="Q27" s="117">
        <v>9</v>
      </c>
      <c r="R27" s="1">
        <v>26741</v>
      </c>
      <c r="S27" s="1">
        <v>19943</v>
      </c>
      <c r="T27" s="1">
        <v>17760</v>
      </c>
      <c r="U27" s="1">
        <v>23846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16379</v>
      </c>
      <c r="O28" s="117">
        <v>20121</v>
      </c>
      <c r="P28" s="117">
        <v>16285</v>
      </c>
      <c r="Q28" s="117">
        <v>15329</v>
      </c>
      <c r="R28" s="1">
        <v>22105</v>
      </c>
      <c r="S28" s="1">
        <v>23477</v>
      </c>
      <c r="T28" s="1">
        <v>18936</v>
      </c>
      <c r="U28" s="1">
        <v>46605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15381</v>
      </c>
      <c r="O29" s="117">
        <v>17777</v>
      </c>
      <c r="P29" s="117">
        <v>23660</v>
      </c>
      <c r="Q29" s="117">
        <v>22751</v>
      </c>
      <c r="R29" s="1">
        <v>16842</v>
      </c>
      <c r="S29" s="1">
        <v>25094</v>
      </c>
      <c r="T29" s="1">
        <v>24725</v>
      </c>
      <c r="U29" s="1">
        <v>30122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20093</v>
      </c>
      <c r="O30" s="117">
        <v>29865</v>
      </c>
      <c r="P30" s="117">
        <v>23987</v>
      </c>
      <c r="Q30" s="117">
        <v>24682</v>
      </c>
      <c r="R30" s="1">
        <v>24254</v>
      </c>
      <c r="S30" s="1">
        <v>27686</v>
      </c>
      <c r="T30" s="1">
        <v>39731</v>
      </c>
      <c r="U30" s="1">
        <v>27770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16516</v>
      </c>
      <c r="O31" s="117">
        <v>31120</v>
      </c>
      <c r="P31" s="117">
        <v>40969</v>
      </c>
      <c r="Q31" s="117">
        <v>37039</v>
      </c>
      <c r="R31" s="1">
        <v>39681</v>
      </c>
      <c r="S31" s="1">
        <v>29343</v>
      </c>
      <c r="T31" s="1">
        <v>26704</v>
      </c>
      <c r="U31" s="1">
        <v>37195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23055</v>
      </c>
      <c r="O32" s="117">
        <v>23322</v>
      </c>
      <c r="P32" s="117">
        <v>30770</v>
      </c>
      <c r="Q32" s="117">
        <v>15724</v>
      </c>
      <c r="R32" s="2">
        <v>32900</v>
      </c>
      <c r="S32" s="1">
        <v>19407</v>
      </c>
      <c r="T32" s="1">
        <v>28535</v>
      </c>
      <c r="U32" s="1">
        <v>35638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23936</v>
      </c>
      <c r="O33" s="117">
        <v>30189</v>
      </c>
      <c r="P33" s="117">
        <v>29245</v>
      </c>
      <c r="Q33" s="117">
        <v>24643</v>
      </c>
      <c r="R33" s="1">
        <v>28727</v>
      </c>
      <c r="S33" s="1">
        <v>36330</v>
      </c>
      <c r="T33" s="1">
        <v>36862</v>
      </c>
      <c r="U33" s="1">
        <v>26796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19179</v>
      </c>
      <c r="O34" s="117">
        <v>19205</v>
      </c>
      <c r="P34" s="117">
        <v>26804</v>
      </c>
      <c r="Q34" s="117">
        <v>23591</v>
      </c>
      <c r="R34" s="1">
        <v>26127</v>
      </c>
      <c r="S34" s="1">
        <v>14095</v>
      </c>
      <c r="T34" s="1">
        <v>27895</v>
      </c>
      <c r="U34" s="1">
        <v>23799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12639</v>
      </c>
      <c r="O35" s="95">
        <v>18011</v>
      </c>
      <c r="P35" s="95">
        <v>23095</v>
      </c>
      <c r="Q35" s="95">
        <v>20393</v>
      </c>
      <c r="R35" s="1">
        <v>19507</v>
      </c>
      <c r="S35" s="1">
        <v>20063</v>
      </c>
      <c r="T35" s="1">
        <v>19410</v>
      </c>
      <c r="U35" s="1">
        <v>28468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190919</v>
      </c>
      <c r="O36" s="96">
        <f>SUM(O24:O35)</f>
        <v>250883</v>
      </c>
      <c r="P36" s="96">
        <f>SUM(P24:P35)</f>
        <v>277734</v>
      </c>
      <c r="Q36" s="96">
        <f>SUM(Q24:Q35)</f>
        <v>236230</v>
      </c>
      <c r="R36" s="126">
        <f t="shared" ref="R36" si="2">SUM(R24:R35)</f>
        <v>281165</v>
      </c>
      <c r="S36" s="126">
        <f>SUM(S24:S35)</f>
        <v>274551</v>
      </c>
      <c r="T36" s="126">
        <f t="shared" ref="T36" si="3">SUM(T24:T35)</f>
        <v>297687</v>
      </c>
      <c r="U36" s="126">
        <f>SUM(U24:U35)</f>
        <v>382953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>
        <v>0</v>
      </c>
      <c r="O42" s="117">
        <v>0</v>
      </c>
      <c r="P42" s="117">
        <v>-129</v>
      </c>
      <c r="Q42" s="117">
        <v>-2</v>
      </c>
      <c r="R42" s="1">
        <v>-5156</v>
      </c>
      <c r="S42" s="1">
        <v>-1672</v>
      </c>
      <c r="T42" s="1">
        <v>-113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>
        <v>0</v>
      </c>
      <c r="O43" s="117">
        <v>0</v>
      </c>
      <c r="P43" s="117">
        <v>0</v>
      </c>
      <c r="Q43" s="117">
        <v>-143</v>
      </c>
      <c r="R43" s="1">
        <v>-1243</v>
      </c>
      <c r="S43" s="117">
        <v>0</v>
      </c>
      <c r="T43" s="1">
        <v>-845</v>
      </c>
      <c r="U43" s="117">
        <v>-124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>
        <v>0</v>
      </c>
      <c r="O44" s="117">
        <v>-4</v>
      </c>
      <c r="P44" s="117">
        <v>-132</v>
      </c>
      <c r="Q44" s="117">
        <v>0</v>
      </c>
      <c r="R44" s="1">
        <v>-7467</v>
      </c>
      <c r="S44" s="1">
        <v>-8830</v>
      </c>
      <c r="T44" s="1">
        <v>-258</v>
      </c>
      <c r="U44" s="1">
        <v>-22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0</v>
      </c>
      <c r="P45" s="117">
        <v>0</v>
      </c>
      <c r="Q45" s="117">
        <v>-111</v>
      </c>
      <c r="R45" s="117">
        <v>-404</v>
      </c>
      <c r="S45" s="117">
        <v>-277</v>
      </c>
      <c r="T45" s="1">
        <v>-17</v>
      </c>
      <c r="U45" s="117">
        <v>-1991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0</v>
      </c>
      <c r="Q46" s="117">
        <v>0</v>
      </c>
      <c r="R46" s="1">
        <v>-4872</v>
      </c>
      <c r="S46" s="117">
        <v>-1</v>
      </c>
      <c r="T46" s="1">
        <v>-90</v>
      </c>
      <c r="U46" s="117">
        <v>-225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-46</v>
      </c>
      <c r="O47" s="117">
        <v>0</v>
      </c>
      <c r="P47" s="117">
        <v>0</v>
      </c>
      <c r="Q47" s="117">
        <v>-1</v>
      </c>
      <c r="R47" s="1">
        <v>-4352</v>
      </c>
      <c r="S47" s="117">
        <v>0</v>
      </c>
      <c r="T47" s="1">
        <v>-24</v>
      </c>
      <c r="U47" s="117">
        <v>-137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-488</v>
      </c>
      <c r="O48" s="117">
        <v>-1272</v>
      </c>
      <c r="P48" s="117">
        <v>-477</v>
      </c>
      <c r="Q48" s="117">
        <v>0</v>
      </c>
      <c r="R48" s="1">
        <v>-588</v>
      </c>
      <c r="S48" s="117">
        <v>-352</v>
      </c>
      <c r="T48" s="1">
        <v>-407</v>
      </c>
      <c r="U48" s="117">
        <v>-226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0</v>
      </c>
      <c r="O49" s="117">
        <v>-108</v>
      </c>
      <c r="P49" s="117">
        <v>-18</v>
      </c>
      <c r="Q49" s="117">
        <v>-3712</v>
      </c>
      <c r="R49" s="117">
        <v>-808</v>
      </c>
      <c r="S49" s="117">
        <v>0</v>
      </c>
      <c r="T49" s="1">
        <v>-2</v>
      </c>
      <c r="U49" s="117">
        <v>-359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0</v>
      </c>
      <c r="P50" s="117">
        <v>0</v>
      </c>
      <c r="Q50" s="117">
        <v>-346</v>
      </c>
      <c r="R50" s="117">
        <v>-202</v>
      </c>
      <c r="S50" s="117">
        <v>0</v>
      </c>
      <c r="T50" s="1">
        <v>0</v>
      </c>
      <c r="U50" s="117">
        <v>-233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0</v>
      </c>
      <c r="O51" s="117">
        <v>-675</v>
      </c>
      <c r="P51" s="117">
        <v>0</v>
      </c>
      <c r="Q51" s="117">
        <v>346</v>
      </c>
      <c r="R51" s="117">
        <v>-42</v>
      </c>
      <c r="S51" s="117">
        <v>-235</v>
      </c>
      <c r="T51" s="1">
        <v>0</v>
      </c>
      <c r="U51" s="117">
        <v>-53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-1</v>
      </c>
      <c r="O52" s="117">
        <v>-580</v>
      </c>
      <c r="P52" s="117">
        <v>0</v>
      </c>
      <c r="Q52" s="117">
        <v>-1083</v>
      </c>
      <c r="R52" s="1">
        <v>-2200</v>
      </c>
      <c r="S52" s="117">
        <v>-76</v>
      </c>
      <c r="T52" s="1">
        <v>-268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>
        <v>-5</v>
      </c>
      <c r="O53" s="95">
        <v>-240</v>
      </c>
      <c r="P53" s="168">
        <v>0</v>
      </c>
      <c r="Q53" s="168">
        <v>-3683</v>
      </c>
      <c r="R53" s="168">
        <v>0</v>
      </c>
      <c r="S53" s="1">
        <v>-2487</v>
      </c>
      <c r="T53" s="1">
        <v>-39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-540</v>
      </c>
      <c r="O54" s="96">
        <f>SUM(O42:O53)</f>
        <v>-2879</v>
      </c>
      <c r="P54" s="96">
        <f>SUM(P42:P53)</f>
        <v>-756</v>
      </c>
      <c r="Q54" s="96">
        <f>SUM(Q42:Q53)</f>
        <v>-8735</v>
      </c>
      <c r="R54" s="126">
        <f t="shared" ref="R54" si="4">SUM(R42:R53)</f>
        <v>-27334</v>
      </c>
      <c r="S54" s="126">
        <f>SUM(S42:S53)</f>
        <v>-13930</v>
      </c>
      <c r="T54" s="126">
        <f t="shared" ref="T54" si="5">SUM(T42:T53)</f>
        <v>-2063</v>
      </c>
      <c r="U54" s="126">
        <f>SUM(U42:U53)</f>
        <v>-3370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212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>
        <v>0</v>
      </c>
      <c r="O60" s="117">
        <v>5620</v>
      </c>
      <c r="P60" s="117">
        <v>6720</v>
      </c>
      <c r="Q60" s="117">
        <v>8260</v>
      </c>
      <c r="R60" s="1">
        <v>68940</v>
      </c>
      <c r="S60" s="1">
        <v>8820</v>
      </c>
      <c r="T60" s="1">
        <v>6540</v>
      </c>
      <c r="U60" s="1">
        <v>9220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>
        <v>4700</v>
      </c>
      <c r="O61" s="117">
        <v>6900</v>
      </c>
      <c r="P61" s="117">
        <v>8420</v>
      </c>
      <c r="Q61" s="117">
        <v>8780</v>
      </c>
      <c r="R61" s="113">
        <v>7140</v>
      </c>
      <c r="S61" s="1">
        <v>9220</v>
      </c>
      <c r="T61" s="1">
        <v>10620</v>
      </c>
      <c r="U61" s="1">
        <v>6540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>
        <v>4360</v>
      </c>
      <c r="O62" s="117">
        <v>5080</v>
      </c>
      <c r="P62" s="117">
        <v>31100</v>
      </c>
      <c r="Q62" s="117">
        <v>66920</v>
      </c>
      <c r="R62" s="1">
        <v>67660</v>
      </c>
      <c r="S62" s="117">
        <v>8000</v>
      </c>
      <c r="T62" s="1">
        <v>7460</v>
      </c>
      <c r="U62" s="117">
        <v>6520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>
        <v>6000</v>
      </c>
      <c r="O63" s="117">
        <v>6580</v>
      </c>
      <c r="P63" s="117">
        <v>8920</v>
      </c>
      <c r="Q63" s="117">
        <v>9660</v>
      </c>
      <c r="R63" s="117">
        <v>6460</v>
      </c>
      <c r="S63" s="1">
        <v>11340</v>
      </c>
      <c r="T63" s="1">
        <v>7680</v>
      </c>
      <c r="U63" s="1">
        <v>8620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>
        <v>5240</v>
      </c>
      <c r="O64" s="117">
        <v>6380</v>
      </c>
      <c r="P64" s="117">
        <v>5520</v>
      </c>
      <c r="Q64" s="117">
        <v>9560</v>
      </c>
      <c r="R64" s="117">
        <v>5980</v>
      </c>
      <c r="S64" s="117">
        <v>10800</v>
      </c>
      <c r="T64" s="1">
        <v>7360</v>
      </c>
      <c r="U64" s="1">
        <v>17146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3"/>
      <c r="M65" s="117"/>
      <c r="N65" s="117">
        <v>5460</v>
      </c>
      <c r="O65" s="117">
        <v>6600</v>
      </c>
      <c r="P65" s="117">
        <v>8580</v>
      </c>
      <c r="Q65" s="117">
        <v>9460</v>
      </c>
      <c r="R65" s="113">
        <v>9360</v>
      </c>
      <c r="S65" s="1">
        <v>9880</v>
      </c>
      <c r="T65" s="1">
        <v>6300</v>
      </c>
      <c r="U65" s="1">
        <v>8440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>
        <v>5340</v>
      </c>
      <c r="O66" s="117">
        <v>6300</v>
      </c>
      <c r="P66" s="117">
        <v>6640</v>
      </c>
      <c r="Q66" s="117">
        <v>6320</v>
      </c>
      <c r="R66" s="1">
        <v>8440</v>
      </c>
      <c r="S66" s="1">
        <v>6580</v>
      </c>
      <c r="T66" s="1">
        <v>4860</v>
      </c>
      <c r="U66" s="1">
        <v>8760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>
        <v>5040</v>
      </c>
      <c r="O67" s="117">
        <v>5700</v>
      </c>
      <c r="P67" s="117">
        <v>12000</v>
      </c>
      <c r="Q67" s="117">
        <v>11520</v>
      </c>
      <c r="R67" s="1">
        <v>11320</v>
      </c>
      <c r="S67" s="1">
        <v>12560</v>
      </c>
      <c r="T67" s="1">
        <v>4900</v>
      </c>
      <c r="U67" s="1">
        <v>7320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>
        <v>5180</v>
      </c>
      <c r="O68" s="117">
        <v>6460</v>
      </c>
      <c r="P68" s="117">
        <v>8780</v>
      </c>
      <c r="Q68" s="117">
        <v>9460</v>
      </c>
      <c r="R68" s="2">
        <v>8500</v>
      </c>
      <c r="S68" s="1">
        <v>7420</v>
      </c>
      <c r="T68" s="1">
        <v>8000</v>
      </c>
      <c r="U68" s="1">
        <v>7860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>
        <v>5120</v>
      </c>
      <c r="O69" s="117">
        <v>6080</v>
      </c>
      <c r="P69" s="117">
        <v>8060</v>
      </c>
      <c r="Q69" s="117">
        <v>8160</v>
      </c>
      <c r="R69" s="1">
        <v>8660</v>
      </c>
      <c r="S69" s="1">
        <v>6960</v>
      </c>
      <c r="T69" s="1">
        <v>11440</v>
      </c>
      <c r="U69" s="1">
        <v>8760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>
        <v>4900</v>
      </c>
      <c r="O70" s="117">
        <v>5540</v>
      </c>
      <c r="P70" s="117">
        <v>7500</v>
      </c>
      <c r="Q70" s="117">
        <v>-51460</v>
      </c>
      <c r="R70" s="1">
        <v>7860</v>
      </c>
      <c r="S70" s="1">
        <v>6720</v>
      </c>
      <c r="T70" s="1">
        <v>6460</v>
      </c>
      <c r="U70" s="1">
        <v>7460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>
        <v>5280</v>
      </c>
      <c r="O71" s="95">
        <v>4780</v>
      </c>
      <c r="P71" s="95">
        <v>7960</v>
      </c>
      <c r="Q71" s="95">
        <v>67840</v>
      </c>
      <c r="R71" s="1">
        <v>7160</v>
      </c>
      <c r="S71" s="1">
        <v>6460</v>
      </c>
      <c r="T71" s="1">
        <v>6300</v>
      </c>
      <c r="U71" s="1">
        <v>6780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56620</v>
      </c>
      <c r="O72" s="96">
        <f>SUM(O60:O71)</f>
        <v>72020</v>
      </c>
      <c r="P72" s="96">
        <f>SUM(P60:P71)</f>
        <v>120200</v>
      </c>
      <c r="Q72" s="96">
        <f>SUM(Q60:Q71)</f>
        <v>164480</v>
      </c>
      <c r="R72" s="126">
        <f t="shared" ref="R72" si="6">SUM(R60:R71)</f>
        <v>217480</v>
      </c>
      <c r="S72" s="126">
        <f>SUM(S60:S71)</f>
        <v>104760</v>
      </c>
      <c r="T72" s="126">
        <f t="shared" ref="T72" si="7">SUM(T60:T71)</f>
        <v>87920</v>
      </c>
      <c r="U72" s="126">
        <f>SUM(U60:U71)</f>
        <v>103426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218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110220</v>
      </c>
      <c r="P5" s="117">
        <v>111812</v>
      </c>
      <c r="Q5" s="117">
        <v>143377</v>
      </c>
      <c r="R5" s="1">
        <v>139715</v>
      </c>
      <c r="S5" s="1">
        <v>171640</v>
      </c>
      <c r="T5" s="1">
        <v>189358</v>
      </c>
      <c r="U5" s="1">
        <v>199365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91632</v>
      </c>
      <c r="P6" s="117">
        <v>123181</v>
      </c>
      <c r="Q6" s="117">
        <v>106235</v>
      </c>
      <c r="R6" s="1">
        <v>117246</v>
      </c>
      <c r="S6" s="1">
        <v>157949</v>
      </c>
      <c r="T6" s="1">
        <v>170375</v>
      </c>
      <c r="U6" s="1">
        <v>163784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89522</v>
      </c>
      <c r="P7" s="117">
        <v>90734</v>
      </c>
      <c r="Q7" s="117">
        <v>101568</v>
      </c>
      <c r="R7" s="1">
        <v>110016</v>
      </c>
      <c r="S7" s="1">
        <v>165343</v>
      </c>
      <c r="T7" s="1">
        <v>155575</v>
      </c>
      <c r="U7" s="1">
        <v>159410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0</v>
      </c>
      <c r="O8" s="117">
        <v>100020</v>
      </c>
      <c r="P8" s="117">
        <v>102623</v>
      </c>
      <c r="Q8" s="117">
        <v>107260</v>
      </c>
      <c r="R8" s="1">
        <v>117811</v>
      </c>
      <c r="S8" s="1">
        <v>191417</v>
      </c>
      <c r="T8" s="1">
        <v>183943</v>
      </c>
      <c r="U8" s="1">
        <v>168893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81450</v>
      </c>
      <c r="O9" s="117">
        <v>107482</v>
      </c>
      <c r="P9" s="117">
        <v>101649</v>
      </c>
      <c r="Q9" s="117">
        <v>115708</v>
      </c>
      <c r="R9" s="1">
        <v>127382</v>
      </c>
      <c r="S9" s="1">
        <v>187667</v>
      </c>
      <c r="T9" s="1">
        <v>174473</v>
      </c>
      <c r="U9" s="1">
        <v>172109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145572</v>
      </c>
      <c r="O10" s="117">
        <v>154818</v>
      </c>
      <c r="P10" s="117">
        <v>173838</v>
      </c>
      <c r="Q10" s="117">
        <v>181909</v>
      </c>
      <c r="R10" s="1">
        <v>200175</v>
      </c>
      <c r="S10" s="1">
        <v>255305</v>
      </c>
      <c r="T10" s="1">
        <v>254258</v>
      </c>
      <c r="U10" s="1">
        <v>283435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179119</v>
      </c>
      <c r="O11" s="117">
        <v>206723</v>
      </c>
      <c r="P11" s="117">
        <v>212039</v>
      </c>
      <c r="Q11" s="117">
        <v>235504</v>
      </c>
      <c r="R11" s="1">
        <v>252483</v>
      </c>
      <c r="S11" s="1">
        <v>312252</v>
      </c>
      <c r="T11" s="1">
        <v>343480</v>
      </c>
      <c r="U11" s="1">
        <v>372390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232432</v>
      </c>
      <c r="O12" s="117">
        <v>253647</v>
      </c>
      <c r="P12" s="117">
        <v>266758</v>
      </c>
      <c r="Q12" s="117">
        <v>274983</v>
      </c>
      <c r="R12" s="1">
        <v>299318</v>
      </c>
      <c r="S12" s="1">
        <v>390750</v>
      </c>
      <c r="T12" s="1">
        <v>388318</v>
      </c>
      <c r="U12" s="1">
        <v>390081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206164</v>
      </c>
      <c r="O13" s="117">
        <v>203839</v>
      </c>
      <c r="P13" s="117">
        <v>225301</v>
      </c>
      <c r="Q13" s="117">
        <v>230407</v>
      </c>
      <c r="R13" s="2">
        <v>283032</v>
      </c>
      <c r="S13" s="1">
        <v>332420</v>
      </c>
      <c r="T13" s="1">
        <v>348522</v>
      </c>
      <c r="U13" s="1">
        <v>364232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183235</v>
      </c>
      <c r="O14" s="117">
        <v>184293</v>
      </c>
      <c r="P14" s="117">
        <v>188157</v>
      </c>
      <c r="Q14" s="117">
        <v>190186</v>
      </c>
      <c r="R14" s="1">
        <v>245285</v>
      </c>
      <c r="S14" s="1">
        <v>278222</v>
      </c>
      <c r="T14" s="1">
        <v>311682</v>
      </c>
      <c r="U14" s="1">
        <v>315966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121100</v>
      </c>
      <c r="O15" s="117">
        <v>124651</v>
      </c>
      <c r="P15" s="117">
        <v>139985</v>
      </c>
      <c r="Q15" s="117">
        <v>151630</v>
      </c>
      <c r="R15" s="1">
        <v>176958</v>
      </c>
      <c r="S15" s="1">
        <v>209917</v>
      </c>
      <c r="T15" s="1">
        <v>233506</v>
      </c>
      <c r="U15" s="1">
        <v>241330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95220</v>
      </c>
      <c r="O16" s="95">
        <v>101193</v>
      </c>
      <c r="P16" s="95">
        <v>111651</v>
      </c>
      <c r="Q16" s="95">
        <v>115185</v>
      </c>
      <c r="R16" s="1">
        <v>150825</v>
      </c>
      <c r="S16" s="1">
        <v>180395</v>
      </c>
      <c r="T16" s="1">
        <v>187545</v>
      </c>
      <c r="U16" s="1">
        <v>188092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1244292</v>
      </c>
      <c r="O17" s="96">
        <f>SUM(O5:O16)</f>
        <v>1728040</v>
      </c>
      <c r="P17" s="96">
        <f>SUM(P5:P16)</f>
        <v>1847728</v>
      </c>
      <c r="Q17" s="96">
        <f>SUM(Q5:Q16)</f>
        <v>1953952</v>
      </c>
      <c r="R17" s="126">
        <f t="shared" ref="R17" si="0">SUM(R5:R16)</f>
        <v>2220246</v>
      </c>
      <c r="S17" s="126">
        <f>SUM(S5:S16)</f>
        <v>2833277</v>
      </c>
      <c r="T17" s="126">
        <f t="shared" ref="T17" si="1">SUM(T5:T16)</f>
        <v>2941035</v>
      </c>
      <c r="U17" s="126">
        <f>SUM(U5:U16)</f>
        <v>3019087</v>
      </c>
    </row>
    <row r="18" spans="1:21" x14ac:dyDescent="0.2">
      <c r="A18" s="25"/>
      <c r="B18" s="4"/>
      <c r="F18" s="2"/>
      <c r="H18" s="2"/>
      <c r="L18" s="94"/>
      <c r="N18" s="96"/>
      <c r="O18" s="96"/>
      <c r="P18" s="96"/>
      <c r="Q18" s="96"/>
      <c r="R18" s="96"/>
      <c r="S18" s="96"/>
      <c r="U18" s="96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5109</v>
      </c>
      <c r="P24" s="117">
        <v>7123</v>
      </c>
      <c r="Q24" s="117">
        <v>5468</v>
      </c>
      <c r="R24" s="1">
        <v>9510</v>
      </c>
      <c r="S24" s="1">
        <v>24045</v>
      </c>
      <c r="T24" s="1">
        <v>16339</v>
      </c>
      <c r="U24" s="1">
        <v>9556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3091</v>
      </c>
      <c r="P25" s="117">
        <v>32276</v>
      </c>
      <c r="Q25" s="117">
        <v>4806</v>
      </c>
      <c r="R25" s="1">
        <v>-915</v>
      </c>
      <c r="S25" s="1">
        <v>26278</v>
      </c>
      <c r="T25" s="1">
        <v>11384</v>
      </c>
      <c r="U25" s="1">
        <v>6221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3428</v>
      </c>
      <c r="P26" s="117">
        <v>19145</v>
      </c>
      <c r="Q26" s="117">
        <v>2723</v>
      </c>
      <c r="R26" s="1">
        <v>4136</v>
      </c>
      <c r="S26" s="1">
        <v>45617</v>
      </c>
      <c r="T26" s="1">
        <v>3834</v>
      </c>
      <c r="U26" s="1">
        <v>2276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16</v>
      </c>
      <c r="O27" s="117">
        <v>3373</v>
      </c>
      <c r="P27" s="117">
        <v>6200</v>
      </c>
      <c r="Q27" s="117">
        <v>3382</v>
      </c>
      <c r="R27" s="117">
        <v>33403</v>
      </c>
      <c r="S27" s="1">
        <v>19623</v>
      </c>
      <c r="T27" s="1">
        <v>9178</v>
      </c>
      <c r="U27" s="1">
        <v>3965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5010</v>
      </c>
      <c r="O28" s="117">
        <v>2743</v>
      </c>
      <c r="P28" s="117">
        <v>39838</v>
      </c>
      <c r="Q28" s="117">
        <v>4746</v>
      </c>
      <c r="R28" s="1">
        <v>2200</v>
      </c>
      <c r="S28" s="1">
        <v>12936</v>
      </c>
      <c r="T28" s="1">
        <v>5432</v>
      </c>
      <c r="U28" s="1">
        <v>2835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6248</v>
      </c>
      <c r="O29" s="117">
        <v>4944</v>
      </c>
      <c r="P29" s="117">
        <v>5289</v>
      </c>
      <c r="Q29" s="117">
        <v>9331</v>
      </c>
      <c r="R29" s="1">
        <v>17312</v>
      </c>
      <c r="S29" s="1">
        <v>9246</v>
      </c>
      <c r="T29" s="1">
        <v>10212</v>
      </c>
      <c r="U29" s="1">
        <v>6292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8908</v>
      </c>
      <c r="O30" s="117">
        <v>8701</v>
      </c>
      <c r="P30" s="117">
        <v>10053</v>
      </c>
      <c r="Q30" s="117">
        <v>11083</v>
      </c>
      <c r="R30" s="1">
        <v>44023</v>
      </c>
      <c r="S30" s="1">
        <v>675759</v>
      </c>
      <c r="T30" s="1">
        <v>23026</v>
      </c>
      <c r="U30" s="1">
        <v>9312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12088</v>
      </c>
      <c r="O31" s="117">
        <v>10223</v>
      </c>
      <c r="P31" s="117">
        <v>12459</v>
      </c>
      <c r="Q31" s="117">
        <v>11500</v>
      </c>
      <c r="R31" s="1">
        <v>15868</v>
      </c>
      <c r="S31" s="1">
        <v>36098</v>
      </c>
      <c r="T31" s="1">
        <v>7111</v>
      </c>
      <c r="U31" s="1">
        <v>8564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6689</v>
      </c>
      <c r="O32" s="117">
        <v>5451</v>
      </c>
      <c r="P32" s="117">
        <v>6666</v>
      </c>
      <c r="Q32" s="117">
        <v>11252</v>
      </c>
      <c r="R32" s="2">
        <v>7486</v>
      </c>
      <c r="S32" s="1">
        <v>27556</v>
      </c>
      <c r="T32" s="1">
        <v>2152</v>
      </c>
      <c r="U32" s="1">
        <v>12448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6704</v>
      </c>
      <c r="O33" s="117">
        <v>7745</v>
      </c>
      <c r="P33" s="117">
        <v>12003</v>
      </c>
      <c r="Q33" s="117">
        <v>8449</v>
      </c>
      <c r="R33" s="1">
        <v>9902</v>
      </c>
      <c r="S33" s="1">
        <v>24342</v>
      </c>
      <c r="T33" s="1">
        <v>11703</v>
      </c>
      <c r="U33" s="1">
        <v>12119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3287</v>
      </c>
      <c r="O34" s="117">
        <v>4970</v>
      </c>
      <c r="P34" s="117">
        <v>5987</v>
      </c>
      <c r="Q34" s="117">
        <v>6279</v>
      </c>
      <c r="R34" s="1">
        <v>5022</v>
      </c>
      <c r="S34" s="1">
        <v>8213</v>
      </c>
      <c r="T34" s="1">
        <v>5058</v>
      </c>
      <c r="U34" s="1">
        <v>6313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3512</v>
      </c>
      <c r="O35" s="95">
        <v>7362</v>
      </c>
      <c r="P35" s="95">
        <v>3667</v>
      </c>
      <c r="Q35" s="95">
        <v>42280</v>
      </c>
      <c r="R35" s="1">
        <v>12083</v>
      </c>
      <c r="S35" s="1">
        <v>7089</v>
      </c>
      <c r="T35" s="1">
        <v>4360</v>
      </c>
      <c r="U35" s="1">
        <v>3551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52462</v>
      </c>
      <c r="O36" s="96">
        <f>SUM(O24:O35)</f>
        <v>67140</v>
      </c>
      <c r="P36" s="96">
        <f>SUM(P24:P35)</f>
        <v>160706</v>
      </c>
      <c r="Q36" s="96">
        <f>SUM(Q24:Q35)</f>
        <v>121299</v>
      </c>
      <c r="R36" s="126">
        <f t="shared" ref="R36" si="2">SUM(R24:R35)</f>
        <v>160030</v>
      </c>
      <c r="S36" s="126">
        <f>SUM(S24:S35)</f>
        <v>916802</v>
      </c>
      <c r="T36" s="126">
        <f t="shared" ref="T36" si="3">SUM(T24:T35)</f>
        <v>109789</v>
      </c>
      <c r="U36" s="126">
        <f>SUM(U24:U35)</f>
        <v>83452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-219</v>
      </c>
      <c r="Q42" s="117">
        <v>0</v>
      </c>
      <c r="R42" s="117">
        <v>-162</v>
      </c>
      <c r="S42" s="117">
        <v>-2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-896</v>
      </c>
      <c r="Q43" s="117">
        <v>0</v>
      </c>
      <c r="R43" s="1">
        <v>-2</v>
      </c>
      <c r="S43" s="117">
        <v>-5</v>
      </c>
      <c r="T43" s="1">
        <v>-1609</v>
      </c>
      <c r="U43" s="117">
        <v>-376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0</v>
      </c>
      <c r="Q44" s="117">
        <v>-46</v>
      </c>
      <c r="R44" s="117">
        <v>0</v>
      </c>
      <c r="S44" s="117">
        <v>-225</v>
      </c>
      <c r="T44" s="1">
        <v>-200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-99</v>
      </c>
      <c r="P45" s="117">
        <v>0</v>
      </c>
      <c r="Q45" s="117">
        <v>0</v>
      </c>
      <c r="R45" s="117">
        <v>-231</v>
      </c>
      <c r="S45" s="117">
        <v>-298</v>
      </c>
      <c r="T45" s="1">
        <v>-141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0</v>
      </c>
      <c r="Q46" s="117">
        <v>0</v>
      </c>
      <c r="R46" s="117">
        <v>-1271</v>
      </c>
      <c r="S46" s="117">
        <v>0</v>
      </c>
      <c r="T46" s="1">
        <v>-36</v>
      </c>
      <c r="U46" s="117">
        <v>-1981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0</v>
      </c>
      <c r="P47" s="117">
        <v>0</v>
      </c>
      <c r="Q47" s="117">
        <v>0</v>
      </c>
      <c r="R47" s="1">
        <v>-15</v>
      </c>
      <c r="S47" s="117">
        <v>0</v>
      </c>
      <c r="T47" s="1">
        <v>-56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0</v>
      </c>
      <c r="P48" s="117">
        <v>0</v>
      </c>
      <c r="Q48" s="117">
        <v>-751</v>
      </c>
      <c r="R48" s="1">
        <v>-204</v>
      </c>
      <c r="S48" s="117">
        <v>0</v>
      </c>
      <c r="T48" s="1">
        <v>-34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0</v>
      </c>
      <c r="O49" s="117">
        <v>0</v>
      </c>
      <c r="P49" s="117">
        <v>-36</v>
      </c>
      <c r="Q49" s="117">
        <v>-164</v>
      </c>
      <c r="R49" s="1">
        <v>-1271</v>
      </c>
      <c r="S49" s="1">
        <v>-1119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-1136</v>
      </c>
      <c r="P50" s="117">
        <v>0</v>
      </c>
      <c r="Q50" s="117">
        <v>-46</v>
      </c>
      <c r="R50" s="2">
        <v>-1652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-99</v>
      </c>
      <c r="T51" s="1">
        <v>0</v>
      </c>
      <c r="U51" s="117">
        <v>-16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0</v>
      </c>
      <c r="P52" s="117">
        <v>0</v>
      </c>
      <c r="Q52" s="117">
        <v>-2</v>
      </c>
      <c r="R52" s="1">
        <v>-62</v>
      </c>
      <c r="S52" s="117">
        <v>0</v>
      </c>
      <c r="T52" s="1">
        <v>-1693</v>
      </c>
      <c r="U52" s="1">
        <v>-4538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0</v>
      </c>
      <c r="O53" s="168">
        <v>-81</v>
      </c>
      <c r="P53" s="168">
        <v>-10</v>
      </c>
      <c r="Q53" s="168">
        <v>0</v>
      </c>
      <c r="R53" s="168">
        <v>0</v>
      </c>
      <c r="S53" s="182">
        <v>-235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0</v>
      </c>
      <c r="O54" s="96">
        <f>SUM(O42:O53)</f>
        <v>-1316</v>
      </c>
      <c r="P54" s="96">
        <f>SUM(P42:P53)</f>
        <v>-1161</v>
      </c>
      <c r="Q54" s="96">
        <f>SUM(Q42:Q53)</f>
        <v>-1009</v>
      </c>
      <c r="R54" s="126">
        <f t="shared" ref="R54" si="4">SUM(R42:R53)</f>
        <v>-4870</v>
      </c>
      <c r="S54" s="126">
        <f>SUM(S42:S53)</f>
        <v>-1983</v>
      </c>
      <c r="T54" s="126">
        <f t="shared" ref="T54" si="5">SUM(T42:T53)</f>
        <v>-3769</v>
      </c>
      <c r="U54" s="126">
        <f>SUM(U42:U53)</f>
        <v>-6911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.140625" customWidth="1"/>
    <col min="5" max="5" width="5" bestFit="1" customWidth="1"/>
    <col min="6" max="6" width="5.85546875" customWidth="1"/>
    <col min="7" max="7" width="5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217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149848</v>
      </c>
      <c r="P5" s="117">
        <v>144996</v>
      </c>
      <c r="Q5" s="117">
        <v>149422</v>
      </c>
      <c r="R5" s="1">
        <v>172573</v>
      </c>
      <c r="S5" s="1">
        <v>184607</v>
      </c>
      <c r="T5" s="1">
        <v>202230</v>
      </c>
      <c r="U5" s="1">
        <v>212055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111055</v>
      </c>
      <c r="P6" s="117">
        <v>114144</v>
      </c>
      <c r="Q6" s="117">
        <v>118037</v>
      </c>
      <c r="R6" s="1">
        <v>133542</v>
      </c>
      <c r="S6" s="1">
        <v>147798</v>
      </c>
      <c r="T6" s="1">
        <v>158714</v>
      </c>
      <c r="U6" s="1">
        <v>174798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108346</v>
      </c>
      <c r="P7" s="117">
        <v>106067</v>
      </c>
      <c r="Q7" s="117">
        <v>112788</v>
      </c>
      <c r="R7" s="1">
        <v>129977</v>
      </c>
      <c r="S7" s="1">
        <v>143671</v>
      </c>
      <c r="T7" s="1">
        <v>164260</v>
      </c>
      <c r="U7" s="1">
        <v>161352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8</v>
      </c>
      <c r="O8" s="117">
        <v>127062</v>
      </c>
      <c r="P8" s="117">
        <v>126867</v>
      </c>
      <c r="Q8" s="117">
        <v>134608</v>
      </c>
      <c r="R8" s="1">
        <v>156087</v>
      </c>
      <c r="S8" s="1">
        <v>181889</v>
      </c>
      <c r="T8" s="1">
        <v>189513</v>
      </c>
      <c r="U8" s="1">
        <v>205124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122823</v>
      </c>
      <c r="O9" s="117">
        <v>125141</v>
      </c>
      <c r="P9" s="117">
        <v>118033</v>
      </c>
      <c r="Q9" s="117">
        <v>133631</v>
      </c>
      <c r="R9" s="1">
        <v>152701</v>
      </c>
      <c r="S9" s="1">
        <v>177984</v>
      </c>
      <c r="T9" s="1">
        <v>163514</v>
      </c>
      <c r="U9" s="1">
        <v>197667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119872</v>
      </c>
      <c r="O10" s="117">
        <v>135128</v>
      </c>
      <c r="P10" s="117">
        <v>146910</v>
      </c>
      <c r="Q10" s="117">
        <v>156828</v>
      </c>
      <c r="R10" s="1">
        <v>162050</v>
      </c>
      <c r="S10" s="1">
        <v>176629</v>
      </c>
      <c r="T10" s="1">
        <v>225357</v>
      </c>
      <c r="U10" s="1">
        <v>203900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128047</v>
      </c>
      <c r="O11" s="117">
        <v>127711</v>
      </c>
      <c r="P11" s="117">
        <v>132389</v>
      </c>
      <c r="Q11" s="117">
        <v>145318</v>
      </c>
      <c r="R11" s="1">
        <v>147352</v>
      </c>
      <c r="S11" s="1">
        <v>186990</v>
      </c>
      <c r="T11" s="1">
        <v>193676</v>
      </c>
      <c r="U11" s="1">
        <v>218085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151933</v>
      </c>
      <c r="O12" s="117">
        <v>148983</v>
      </c>
      <c r="P12" s="117">
        <v>168927</v>
      </c>
      <c r="Q12" s="117">
        <v>169819</v>
      </c>
      <c r="R12" s="1">
        <v>189433</v>
      </c>
      <c r="S12" s="1">
        <v>200854</v>
      </c>
      <c r="T12" s="1">
        <v>179386</v>
      </c>
      <c r="U12" s="1">
        <v>191838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137533</v>
      </c>
      <c r="O13" s="117">
        <v>136948</v>
      </c>
      <c r="P13" s="117">
        <v>151627</v>
      </c>
      <c r="Q13" s="117">
        <v>161797</v>
      </c>
      <c r="R13" s="2">
        <v>164966</v>
      </c>
      <c r="S13" s="1">
        <v>177693</v>
      </c>
      <c r="T13" s="1">
        <v>203546</v>
      </c>
      <c r="U13" s="1">
        <v>208285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137320</v>
      </c>
      <c r="O14" s="117">
        <v>137031</v>
      </c>
      <c r="P14" s="117">
        <v>141136</v>
      </c>
      <c r="Q14" s="117">
        <v>160423</v>
      </c>
      <c r="R14" s="1">
        <v>164573</v>
      </c>
      <c r="S14" s="1">
        <v>187219</v>
      </c>
      <c r="T14" s="1">
        <v>196960</v>
      </c>
      <c r="U14" s="1">
        <v>205488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134296</v>
      </c>
      <c r="O15" s="117">
        <v>128908</v>
      </c>
      <c r="P15" s="117">
        <v>138773</v>
      </c>
      <c r="Q15" s="117">
        <v>151579</v>
      </c>
      <c r="R15" s="1">
        <v>163896</v>
      </c>
      <c r="S15" s="1">
        <v>230984</v>
      </c>
      <c r="T15" s="1">
        <v>210756</v>
      </c>
      <c r="U15" s="1">
        <v>191739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127377</v>
      </c>
      <c r="O16" s="95">
        <v>130272</v>
      </c>
      <c r="P16" s="95">
        <v>148147</v>
      </c>
      <c r="Q16" s="95">
        <v>149676</v>
      </c>
      <c r="R16" s="1">
        <v>177748</v>
      </c>
      <c r="S16" s="1">
        <v>165538</v>
      </c>
      <c r="T16" s="1">
        <v>204711</v>
      </c>
      <c r="U16" s="1">
        <v>196446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1059209</v>
      </c>
      <c r="O17" s="96">
        <f>SUM(O5:O16)</f>
        <v>1566433</v>
      </c>
      <c r="P17" s="96">
        <f>SUM(P5:P16)</f>
        <v>1638016</v>
      </c>
      <c r="Q17" s="96">
        <f>SUM(Q5:Q16)</f>
        <v>1743926</v>
      </c>
      <c r="R17" s="126">
        <f t="shared" ref="R17" si="0">SUM(R5:R16)</f>
        <v>1914898</v>
      </c>
      <c r="S17" s="126">
        <f>SUM(S5:S16)</f>
        <v>2161856</v>
      </c>
      <c r="T17" s="126">
        <f t="shared" ref="T17" si="1">SUM(T5:T16)</f>
        <v>2292623</v>
      </c>
      <c r="U17" s="126">
        <f>SUM(U5:U16)</f>
        <v>2366777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11916</v>
      </c>
      <c r="P24" s="117">
        <v>8532</v>
      </c>
      <c r="Q24" s="117">
        <v>3000</v>
      </c>
      <c r="R24" s="117">
        <v>10178</v>
      </c>
      <c r="S24" s="1">
        <v>8683</v>
      </c>
      <c r="T24" s="1">
        <v>7921</v>
      </c>
      <c r="U24" s="1">
        <v>13870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6618</v>
      </c>
      <c r="P25" s="117">
        <v>4305</v>
      </c>
      <c r="Q25" s="117">
        <v>6612</v>
      </c>
      <c r="R25" s="1">
        <v>20871</v>
      </c>
      <c r="S25" s="1">
        <v>2165</v>
      </c>
      <c r="T25" s="1">
        <v>5975</v>
      </c>
      <c r="U25" s="1">
        <v>10861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8283</v>
      </c>
      <c r="P26" s="117">
        <v>4410</v>
      </c>
      <c r="Q26" s="117">
        <v>4808</v>
      </c>
      <c r="R26" s="113">
        <v>5456</v>
      </c>
      <c r="S26" s="1">
        <v>4724</v>
      </c>
      <c r="T26" s="1">
        <v>5025</v>
      </c>
      <c r="U26" s="1">
        <v>5136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0</v>
      </c>
      <c r="O27" s="117">
        <v>7072</v>
      </c>
      <c r="P27" s="117">
        <v>7774</v>
      </c>
      <c r="Q27" s="117">
        <v>5427</v>
      </c>
      <c r="R27" s="117">
        <v>-2669</v>
      </c>
      <c r="S27" s="1">
        <v>7648</v>
      </c>
      <c r="T27" s="1">
        <v>34658</v>
      </c>
      <c r="U27" s="1">
        <v>15108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4962</v>
      </c>
      <c r="O28" s="117">
        <v>6599</v>
      </c>
      <c r="P28" s="117">
        <v>4173</v>
      </c>
      <c r="Q28" s="117">
        <v>7197</v>
      </c>
      <c r="R28" s="1">
        <v>10386</v>
      </c>
      <c r="S28" s="1">
        <v>8460</v>
      </c>
      <c r="T28" s="1">
        <v>8499</v>
      </c>
      <c r="U28" s="1">
        <v>12938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10105</v>
      </c>
      <c r="O29" s="117">
        <v>7734</v>
      </c>
      <c r="P29" s="117">
        <v>10593</v>
      </c>
      <c r="Q29" s="117">
        <v>7073</v>
      </c>
      <c r="R29" s="1">
        <v>9067</v>
      </c>
      <c r="S29" s="1">
        <v>10107</v>
      </c>
      <c r="T29" s="1">
        <v>7208</v>
      </c>
      <c r="U29" s="1">
        <v>9695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11134</v>
      </c>
      <c r="O30" s="117">
        <v>11134</v>
      </c>
      <c r="P30" s="117">
        <v>13543</v>
      </c>
      <c r="Q30" s="117">
        <v>7541</v>
      </c>
      <c r="R30" s="1">
        <v>9065</v>
      </c>
      <c r="S30" s="1">
        <v>13049</v>
      </c>
      <c r="T30" s="1">
        <v>13734</v>
      </c>
      <c r="U30" s="1">
        <v>12803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7483</v>
      </c>
      <c r="O31" s="117">
        <v>8221</v>
      </c>
      <c r="P31" s="117">
        <v>8984</v>
      </c>
      <c r="Q31" s="117">
        <v>8890</v>
      </c>
      <c r="R31" s="1">
        <v>9082</v>
      </c>
      <c r="S31" s="1">
        <v>9798</v>
      </c>
      <c r="T31" s="1">
        <v>8039</v>
      </c>
      <c r="U31" s="1">
        <v>13868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7911</v>
      </c>
      <c r="O32" s="117">
        <v>7951</v>
      </c>
      <c r="P32" s="117">
        <v>8290</v>
      </c>
      <c r="Q32" s="117">
        <v>10286</v>
      </c>
      <c r="R32" s="2">
        <v>8606</v>
      </c>
      <c r="S32" s="1">
        <v>8575</v>
      </c>
      <c r="T32" s="1">
        <v>15889</v>
      </c>
      <c r="U32" s="1">
        <v>9082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10942</v>
      </c>
      <c r="O33" s="117">
        <v>7615</v>
      </c>
      <c r="P33" s="117">
        <v>12307</v>
      </c>
      <c r="Q33" s="117">
        <v>9635</v>
      </c>
      <c r="R33" s="1">
        <v>12171</v>
      </c>
      <c r="S33" s="1">
        <v>14277</v>
      </c>
      <c r="T33" s="1">
        <v>10463</v>
      </c>
      <c r="U33" s="1">
        <v>7982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10442</v>
      </c>
      <c r="O34" s="117">
        <v>8014</v>
      </c>
      <c r="P34" s="117">
        <v>6014</v>
      </c>
      <c r="Q34" s="117">
        <v>11788</v>
      </c>
      <c r="R34" s="1">
        <v>8355</v>
      </c>
      <c r="S34" s="1">
        <v>15313</v>
      </c>
      <c r="T34" s="1">
        <v>9995</v>
      </c>
      <c r="U34" s="1">
        <v>8851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5028</v>
      </c>
      <c r="O35" s="95">
        <v>6012</v>
      </c>
      <c r="P35" s="95">
        <v>6030</v>
      </c>
      <c r="Q35" s="95">
        <v>9538</v>
      </c>
      <c r="R35" s="1">
        <v>7143</v>
      </c>
      <c r="S35" s="1">
        <v>7551</v>
      </c>
      <c r="T35" s="1">
        <v>9105</v>
      </c>
      <c r="U35" s="1">
        <v>7476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68007</v>
      </c>
      <c r="O36" s="96">
        <f>SUM(O24:O35)</f>
        <v>97169</v>
      </c>
      <c r="P36" s="96">
        <f>SUM(P24:P35)</f>
        <v>94955</v>
      </c>
      <c r="Q36" s="96">
        <f>SUM(Q24:Q35)</f>
        <v>91795</v>
      </c>
      <c r="R36" s="126">
        <f t="shared" ref="R36" si="2">SUM(R24:R35)</f>
        <v>107711</v>
      </c>
      <c r="S36" s="126">
        <f>SUM(S24:S35)</f>
        <v>110350</v>
      </c>
      <c r="T36" s="126">
        <f t="shared" ref="T36" si="3">SUM(T24:T35)</f>
        <v>136511</v>
      </c>
      <c r="U36" s="126">
        <f>SUM(U24:U35)</f>
        <v>127670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-1507</v>
      </c>
      <c r="P42" s="117">
        <v>-4</v>
      </c>
      <c r="Q42" s="117">
        <v>0</v>
      </c>
      <c r="R42" s="117">
        <v>0</v>
      </c>
      <c r="S42" s="117">
        <v>-424</v>
      </c>
      <c r="T42" s="1">
        <v>-4458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-1623</v>
      </c>
      <c r="Q43" s="117">
        <v>-27</v>
      </c>
      <c r="R43" s="1">
        <v>-453</v>
      </c>
      <c r="S43" s="117">
        <v>-1001</v>
      </c>
      <c r="T43" s="1">
        <v>-45</v>
      </c>
      <c r="U43" s="117">
        <v>-432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-1</v>
      </c>
      <c r="P44" s="117">
        <v>0</v>
      </c>
      <c r="Q44" s="117">
        <v>-6507</v>
      </c>
      <c r="R44" s="113">
        <v>-9931</v>
      </c>
      <c r="S44" s="117">
        <v>-84</v>
      </c>
      <c r="T44" s="1">
        <v>-297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0</v>
      </c>
      <c r="P45" s="117">
        <v>0</v>
      </c>
      <c r="Q45" s="117">
        <v>-5153</v>
      </c>
      <c r="R45" s="117">
        <v>-1</v>
      </c>
      <c r="S45" s="117">
        <v>0</v>
      </c>
      <c r="T45" s="1">
        <v>0</v>
      </c>
      <c r="U45" s="117">
        <v>-223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-12</v>
      </c>
      <c r="Q46" s="117">
        <v>-7006</v>
      </c>
      <c r="R46" s="117">
        <v>-139</v>
      </c>
      <c r="S46" s="117">
        <v>-663</v>
      </c>
      <c r="T46" s="1">
        <v>0</v>
      </c>
      <c r="U46" s="1">
        <v>-4303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0</v>
      </c>
      <c r="P47" s="117">
        <v>-5</v>
      </c>
      <c r="Q47" s="117">
        <v>-1</v>
      </c>
      <c r="R47" s="1">
        <v>-11053</v>
      </c>
      <c r="S47" s="117">
        <v>-39</v>
      </c>
      <c r="T47" s="1">
        <v>-843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-284</v>
      </c>
      <c r="P48" s="117">
        <v>0</v>
      </c>
      <c r="Q48" s="117">
        <v>0</v>
      </c>
      <c r="R48" s="1">
        <v>-1</v>
      </c>
      <c r="S48" s="117">
        <v>-197</v>
      </c>
      <c r="T48" s="1">
        <v>-14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0</v>
      </c>
      <c r="O49" s="117">
        <v>0</v>
      </c>
      <c r="P49" s="117">
        <v>-1</v>
      </c>
      <c r="Q49" s="117">
        <v>0</v>
      </c>
      <c r="R49" s="117">
        <v>-193</v>
      </c>
      <c r="S49" s="117">
        <v>0</v>
      </c>
      <c r="T49" s="1">
        <v>-151</v>
      </c>
      <c r="U49" s="1">
        <v>-1672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-5</v>
      </c>
      <c r="P50" s="117">
        <v>0</v>
      </c>
      <c r="Q50" s="117">
        <v>0</v>
      </c>
      <c r="R50" s="117">
        <v>0</v>
      </c>
      <c r="S50" s="1">
        <v>-15059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-85</v>
      </c>
      <c r="O51" s="117">
        <v>0</v>
      </c>
      <c r="P51" s="117">
        <v>0</v>
      </c>
      <c r="Q51" s="117">
        <v>-106</v>
      </c>
      <c r="R51" s="117">
        <v>-255</v>
      </c>
      <c r="S51" s="117">
        <v>0</v>
      </c>
      <c r="T51" s="1">
        <v>-1390</v>
      </c>
      <c r="U51" s="1">
        <v>-26686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0</v>
      </c>
      <c r="P52" s="117">
        <v>-523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0</v>
      </c>
      <c r="O53" s="168">
        <v>0</v>
      </c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-585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-85</v>
      </c>
      <c r="O54" s="96">
        <f>SUM(O42:O53)</f>
        <v>-1797</v>
      </c>
      <c r="P54" s="96">
        <f>SUM(P42:P53)</f>
        <v>-2168</v>
      </c>
      <c r="Q54" s="96">
        <f>SUM(Q42:Q53)</f>
        <v>-18800</v>
      </c>
      <c r="R54" s="126">
        <f t="shared" ref="R54" si="4">SUM(R42:R53)</f>
        <v>-22026</v>
      </c>
      <c r="S54" s="126">
        <f>SUM(S42:S53)</f>
        <v>-17467</v>
      </c>
      <c r="T54" s="126">
        <f t="shared" ref="T54" si="5">SUM(T42:T53)</f>
        <v>-7198</v>
      </c>
      <c r="U54" s="126">
        <f>SUM(U42:U53)</f>
        <v>-33901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80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5.7109375" customWidth="1"/>
    <col min="7" max="7" width="5.7109375" bestFit="1" customWidth="1"/>
    <col min="8" max="13" width="5" bestFit="1" customWidth="1"/>
    <col min="14" max="20" width="10.7109375" bestFit="1" customWidth="1"/>
    <col min="21" max="21" width="11.7109375" bestFit="1" customWidth="1"/>
  </cols>
  <sheetData>
    <row r="1" spans="1:21" x14ac:dyDescent="0.2">
      <c r="A1" s="121" t="s">
        <v>220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468857</v>
      </c>
      <c r="P5" s="117">
        <v>475797</v>
      </c>
      <c r="Q5" s="117">
        <v>516764</v>
      </c>
      <c r="R5" s="1">
        <v>554548</v>
      </c>
      <c r="S5" s="1">
        <v>615096</v>
      </c>
      <c r="T5" s="1">
        <v>644992</v>
      </c>
      <c r="U5" s="1">
        <v>727920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345059</v>
      </c>
      <c r="P6" s="117">
        <v>362776</v>
      </c>
      <c r="Q6" s="117">
        <v>397085</v>
      </c>
      <c r="R6" s="1">
        <v>433263</v>
      </c>
      <c r="S6" s="1">
        <v>504563</v>
      </c>
      <c r="T6" s="1">
        <v>554107</v>
      </c>
      <c r="U6" s="1">
        <v>593053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330096</v>
      </c>
      <c r="P7" s="117">
        <v>345435</v>
      </c>
      <c r="Q7" s="117">
        <v>380935</v>
      </c>
      <c r="R7" s="1">
        <v>399373</v>
      </c>
      <c r="S7" s="1">
        <v>549476</v>
      </c>
      <c r="T7" s="1">
        <v>521856</v>
      </c>
      <c r="U7" s="1">
        <v>553817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1914</v>
      </c>
      <c r="O8" s="117">
        <v>393850</v>
      </c>
      <c r="P8" s="117">
        <v>421416</v>
      </c>
      <c r="Q8" s="117">
        <v>444889</v>
      </c>
      <c r="R8" s="1">
        <v>444064</v>
      </c>
      <c r="S8" s="1">
        <v>635340</v>
      </c>
      <c r="T8" s="1">
        <v>755683</v>
      </c>
      <c r="U8" s="1">
        <v>653648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367962</v>
      </c>
      <c r="O9" s="117">
        <v>424590</v>
      </c>
      <c r="P9" s="117">
        <v>431821</v>
      </c>
      <c r="Q9" s="117">
        <v>474279</v>
      </c>
      <c r="R9" s="1">
        <v>490625</v>
      </c>
      <c r="S9" s="1">
        <v>683411</v>
      </c>
      <c r="T9" s="1">
        <v>635089</v>
      </c>
      <c r="U9" s="1">
        <v>659402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489881</v>
      </c>
      <c r="O10" s="117">
        <v>540529</v>
      </c>
      <c r="P10" s="117">
        <v>616609</v>
      </c>
      <c r="Q10" s="117">
        <v>667086</v>
      </c>
      <c r="R10" s="1">
        <v>675084</v>
      </c>
      <c r="S10" s="1">
        <v>843653</v>
      </c>
      <c r="T10" s="1">
        <v>942670</v>
      </c>
      <c r="U10" s="1">
        <v>896719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511373</v>
      </c>
      <c r="O11" s="117">
        <v>534959</v>
      </c>
      <c r="P11" s="117">
        <v>569076</v>
      </c>
      <c r="Q11" s="117">
        <v>654125</v>
      </c>
      <c r="R11" s="1">
        <v>697760</v>
      </c>
      <c r="S11" s="1">
        <v>858957</v>
      </c>
      <c r="T11" s="1">
        <v>977351</v>
      </c>
      <c r="U11" s="1">
        <v>1086151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667564</v>
      </c>
      <c r="O12" s="117">
        <v>716777</v>
      </c>
      <c r="P12" s="117">
        <v>801882</v>
      </c>
      <c r="Q12" s="117">
        <v>791195</v>
      </c>
      <c r="R12" s="1">
        <v>913994</v>
      </c>
      <c r="S12" s="1">
        <v>1007337</v>
      </c>
      <c r="T12" s="1">
        <v>962578</v>
      </c>
      <c r="U12" s="1">
        <v>1027375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587295</v>
      </c>
      <c r="O13" s="117">
        <v>617354</v>
      </c>
      <c r="P13" s="117">
        <v>667235</v>
      </c>
      <c r="Q13" s="117">
        <v>757463</v>
      </c>
      <c r="R13" s="2">
        <v>794596</v>
      </c>
      <c r="S13" s="1">
        <v>850392</v>
      </c>
      <c r="T13" s="1">
        <v>972075</v>
      </c>
      <c r="U13" s="1">
        <v>991561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524961</v>
      </c>
      <c r="O14" s="117">
        <v>560396</v>
      </c>
      <c r="P14" s="117">
        <v>566690</v>
      </c>
      <c r="Q14" s="117">
        <v>618356</v>
      </c>
      <c r="R14" s="1">
        <v>760803</v>
      </c>
      <c r="S14" s="1">
        <v>765878</v>
      </c>
      <c r="T14" s="1">
        <v>863781</v>
      </c>
      <c r="U14" s="1">
        <v>873834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448178</v>
      </c>
      <c r="O15" s="117">
        <v>460936</v>
      </c>
      <c r="P15" s="117">
        <v>515390</v>
      </c>
      <c r="Q15" s="117">
        <v>534732</v>
      </c>
      <c r="R15" s="1">
        <v>579110</v>
      </c>
      <c r="S15" s="1">
        <v>626426</v>
      </c>
      <c r="T15" s="1">
        <v>735395</v>
      </c>
      <c r="U15" s="1">
        <v>751620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396896</v>
      </c>
      <c r="O16" s="95">
        <v>424523</v>
      </c>
      <c r="P16" s="95">
        <v>470098</v>
      </c>
      <c r="Q16" s="95">
        <v>487772</v>
      </c>
      <c r="R16" s="1">
        <v>551109</v>
      </c>
      <c r="S16" s="1">
        <v>567686</v>
      </c>
      <c r="T16" s="1">
        <v>756302</v>
      </c>
      <c r="U16" s="1">
        <v>693231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3996024</v>
      </c>
      <c r="O17" s="96">
        <f>SUM(O5:O16)</f>
        <v>5817926</v>
      </c>
      <c r="P17" s="96">
        <f>SUM(P5:P16)</f>
        <v>6244225</v>
      </c>
      <c r="Q17" s="96">
        <f>SUM(Q5:Q16)</f>
        <v>6724681</v>
      </c>
      <c r="R17" s="126">
        <f t="shared" ref="R17" si="0">SUM(R5:R16)</f>
        <v>7294329</v>
      </c>
      <c r="S17" s="126">
        <f>SUM(S5:S16)</f>
        <v>8508215</v>
      </c>
      <c r="T17" s="126">
        <f t="shared" ref="T17" si="1">SUM(T5:T16)</f>
        <v>9321879</v>
      </c>
      <c r="U17" s="126">
        <f>SUM(U5:U16)</f>
        <v>9508331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20446</v>
      </c>
      <c r="P24" s="117">
        <v>22747</v>
      </c>
      <c r="Q24" s="117">
        <v>30467</v>
      </c>
      <c r="R24" s="1">
        <v>38315</v>
      </c>
      <c r="S24" s="1">
        <v>27230</v>
      </c>
      <c r="T24" s="1">
        <v>31280</v>
      </c>
      <c r="U24" s="1">
        <v>26835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15305</v>
      </c>
      <c r="P25" s="117">
        <v>15461</v>
      </c>
      <c r="Q25" s="117">
        <v>22104</v>
      </c>
      <c r="R25" s="1">
        <v>17430</v>
      </c>
      <c r="S25" s="1">
        <v>14210</v>
      </c>
      <c r="T25" s="1">
        <v>26163</v>
      </c>
      <c r="U25" s="1">
        <v>22273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16426</v>
      </c>
      <c r="P26" s="117">
        <v>13344</v>
      </c>
      <c r="Q26" s="117">
        <v>11517</v>
      </c>
      <c r="R26" s="1">
        <v>19038</v>
      </c>
      <c r="S26" s="1">
        <v>17170</v>
      </c>
      <c r="T26" s="1">
        <v>13278</v>
      </c>
      <c r="U26" s="1">
        <v>26271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0</v>
      </c>
      <c r="O27" s="117">
        <v>27629</v>
      </c>
      <c r="P27" s="117">
        <v>18277</v>
      </c>
      <c r="Q27" s="117">
        <v>19265</v>
      </c>
      <c r="R27" s="1">
        <v>17697</v>
      </c>
      <c r="S27" s="1">
        <v>18310</v>
      </c>
      <c r="T27" s="1">
        <v>23593</v>
      </c>
      <c r="U27" s="1">
        <v>25131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13857</v>
      </c>
      <c r="O28" s="117">
        <v>21156</v>
      </c>
      <c r="P28" s="117">
        <v>18224</v>
      </c>
      <c r="Q28" s="117">
        <v>21056</v>
      </c>
      <c r="R28" s="1">
        <v>18991</v>
      </c>
      <c r="S28" s="1">
        <v>23156</v>
      </c>
      <c r="T28" s="1">
        <v>18968</v>
      </c>
      <c r="U28" s="1">
        <v>15292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15047</v>
      </c>
      <c r="O29" s="117">
        <v>19003</v>
      </c>
      <c r="P29" s="117">
        <v>17318</v>
      </c>
      <c r="Q29" s="117">
        <v>45886</v>
      </c>
      <c r="R29" s="1">
        <v>20124</v>
      </c>
      <c r="S29" s="1">
        <v>20131</v>
      </c>
      <c r="T29" s="1">
        <v>21138</v>
      </c>
      <c r="U29" s="1">
        <v>24640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22517</v>
      </c>
      <c r="O30" s="117">
        <v>29980</v>
      </c>
      <c r="P30" s="117">
        <v>20535</v>
      </c>
      <c r="Q30" s="117">
        <v>30426</v>
      </c>
      <c r="R30" s="1">
        <v>29361</v>
      </c>
      <c r="S30" s="1">
        <v>34974</v>
      </c>
      <c r="T30" s="1">
        <v>27690</v>
      </c>
      <c r="U30" s="1">
        <v>39931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20966</v>
      </c>
      <c r="O31" s="117">
        <v>30125</v>
      </c>
      <c r="P31" s="117">
        <v>27251</v>
      </c>
      <c r="Q31" s="117">
        <v>35932</v>
      </c>
      <c r="R31" s="1">
        <v>23204</v>
      </c>
      <c r="S31" s="1">
        <v>17614</v>
      </c>
      <c r="T31" s="1">
        <v>22600</v>
      </c>
      <c r="U31" s="1">
        <v>25277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19441</v>
      </c>
      <c r="O32" s="117">
        <v>20921</v>
      </c>
      <c r="P32" s="117">
        <v>28101</v>
      </c>
      <c r="Q32" s="117">
        <v>20674</v>
      </c>
      <c r="R32" s="2">
        <v>7159</v>
      </c>
      <c r="S32" s="1">
        <v>22076</v>
      </c>
      <c r="T32" s="1">
        <v>26537</v>
      </c>
      <c r="U32" s="1">
        <v>20512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22151</v>
      </c>
      <c r="O33" s="117">
        <v>25079</v>
      </c>
      <c r="P33" s="117">
        <v>22320</v>
      </c>
      <c r="Q33" s="117">
        <v>30540</v>
      </c>
      <c r="R33" s="1">
        <v>24113</v>
      </c>
      <c r="S33" s="1">
        <v>24768</v>
      </c>
      <c r="T33" s="1">
        <v>23352</v>
      </c>
      <c r="U33" s="1">
        <v>29366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15388</v>
      </c>
      <c r="O34" s="117">
        <v>19222</v>
      </c>
      <c r="P34" s="117">
        <v>23810</v>
      </c>
      <c r="Q34" s="117">
        <v>19146</v>
      </c>
      <c r="R34" s="1">
        <v>15454</v>
      </c>
      <c r="S34" s="1">
        <v>24156</v>
      </c>
      <c r="T34" s="1">
        <v>23282</v>
      </c>
      <c r="U34" s="1">
        <v>24020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16740</v>
      </c>
      <c r="O35" s="95">
        <v>24215</v>
      </c>
      <c r="P35" s="95">
        <v>17678</v>
      </c>
      <c r="Q35" s="95">
        <v>20700</v>
      </c>
      <c r="R35" s="1">
        <v>17107</v>
      </c>
      <c r="S35" s="1">
        <v>20829</v>
      </c>
      <c r="T35" s="1">
        <v>22618</v>
      </c>
      <c r="U35" s="1">
        <v>20828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146107</v>
      </c>
      <c r="O36" s="96">
        <f>SUM(O24:O35)</f>
        <v>269507</v>
      </c>
      <c r="P36" s="96">
        <f>SUM(P24:P35)</f>
        <v>245066</v>
      </c>
      <c r="Q36" s="96">
        <f>SUM(Q24:Q35)</f>
        <v>307713</v>
      </c>
      <c r="R36" s="126">
        <f t="shared" ref="R36" si="2">SUM(R24:R35)</f>
        <v>247993</v>
      </c>
      <c r="S36" s="126">
        <f>SUM(S24:S35)</f>
        <v>264624</v>
      </c>
      <c r="T36" s="126">
        <f t="shared" ref="T36" si="3">SUM(T24:T35)</f>
        <v>280499</v>
      </c>
      <c r="U36" s="126">
        <f>SUM(U24:U35)</f>
        <v>300376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B39" s="6"/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-390</v>
      </c>
      <c r="Q42" s="117">
        <v>-759</v>
      </c>
      <c r="R42" s="117">
        <v>-21</v>
      </c>
      <c r="S42" s="117">
        <v>-27</v>
      </c>
      <c r="T42" s="1">
        <v>-66</v>
      </c>
      <c r="U42" s="117">
        <v>-84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-402</v>
      </c>
      <c r="Q43" s="117">
        <v>0</v>
      </c>
      <c r="R43" s="1">
        <v>-2593</v>
      </c>
      <c r="S43" s="117">
        <v>-252</v>
      </c>
      <c r="T43" s="1">
        <v>-294</v>
      </c>
      <c r="U43" s="117">
        <v>-229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-38</v>
      </c>
      <c r="P44" s="117">
        <v>-2897</v>
      </c>
      <c r="Q44" s="117">
        <v>-5</v>
      </c>
      <c r="R44" s="1">
        <v>-230</v>
      </c>
      <c r="S44" s="117">
        <v>-115</v>
      </c>
      <c r="T44" s="1">
        <v>-40</v>
      </c>
      <c r="U44" s="117">
        <v>-205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-1134</v>
      </c>
      <c r="P45" s="117">
        <v>-233</v>
      </c>
      <c r="Q45" s="117">
        <v>-131</v>
      </c>
      <c r="R45" s="117">
        <v>-58</v>
      </c>
      <c r="S45" s="1">
        <v>-9270</v>
      </c>
      <c r="T45" s="1">
        <v>-873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-565</v>
      </c>
      <c r="P46" s="117">
        <v>-54</v>
      </c>
      <c r="Q46" s="117">
        <v>-48</v>
      </c>
      <c r="R46" s="1">
        <v>-2689</v>
      </c>
      <c r="S46" s="117">
        <v>-1</v>
      </c>
      <c r="T46" s="1">
        <v>-2328</v>
      </c>
      <c r="U46" s="117">
        <v>-561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-204</v>
      </c>
      <c r="P47" s="117">
        <v>-903</v>
      </c>
      <c r="Q47" s="117">
        <v>-14</v>
      </c>
      <c r="R47" s="1">
        <v>-368</v>
      </c>
      <c r="S47" s="117">
        <v>0</v>
      </c>
      <c r="T47" s="1">
        <v>-1096</v>
      </c>
      <c r="U47" s="117">
        <v>-401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-23</v>
      </c>
      <c r="O48" s="117">
        <v>0</v>
      </c>
      <c r="P48" s="117">
        <v>-10</v>
      </c>
      <c r="Q48" s="117">
        <v>-362</v>
      </c>
      <c r="R48" s="1">
        <v>-751</v>
      </c>
      <c r="S48" s="117">
        <v>-2296</v>
      </c>
      <c r="T48" s="1">
        <v>-420</v>
      </c>
      <c r="U48" s="117">
        <v>-1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-10</v>
      </c>
      <c r="O49" s="117">
        <v>0</v>
      </c>
      <c r="P49" s="117">
        <v>-48</v>
      </c>
      <c r="Q49" s="117">
        <v>-4</v>
      </c>
      <c r="R49" s="117">
        <v>0</v>
      </c>
      <c r="S49" s="117">
        <v>-244</v>
      </c>
      <c r="T49" s="1">
        <v>-25</v>
      </c>
      <c r="U49" s="1">
        <v>-1316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-78</v>
      </c>
      <c r="P50" s="117">
        <v>-32</v>
      </c>
      <c r="Q50" s="117">
        <v>-5</v>
      </c>
      <c r="R50" s="2">
        <v>-281</v>
      </c>
      <c r="S50" s="117">
        <v>0</v>
      </c>
      <c r="T50" s="1">
        <v>0</v>
      </c>
      <c r="U50" s="117">
        <v>-3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0</v>
      </c>
      <c r="O51" s="117">
        <v>-43</v>
      </c>
      <c r="P51" s="117">
        <v>-158</v>
      </c>
      <c r="Q51" s="117">
        <v>0</v>
      </c>
      <c r="R51" s="117">
        <v>-890</v>
      </c>
      <c r="S51" s="117">
        <v>-5</v>
      </c>
      <c r="T51" s="1">
        <v>-10</v>
      </c>
      <c r="U51" s="117">
        <v>-11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0</v>
      </c>
      <c r="P52" s="117">
        <v>-174</v>
      </c>
      <c r="Q52" s="117">
        <v>-80</v>
      </c>
      <c r="R52" s="117">
        <v>0</v>
      </c>
      <c r="S52" s="117">
        <v>0</v>
      </c>
      <c r="T52" s="1">
        <v>-533</v>
      </c>
      <c r="U52" s="117">
        <v>-546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-1738</v>
      </c>
      <c r="O53" s="168">
        <v>-1421</v>
      </c>
      <c r="P53" s="168">
        <v>-175</v>
      </c>
      <c r="Q53" s="168">
        <v>0</v>
      </c>
      <c r="R53" s="1">
        <v>-1555</v>
      </c>
      <c r="S53" s="182">
        <v>-145</v>
      </c>
      <c r="T53" s="1">
        <v>-642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-1771</v>
      </c>
      <c r="O54" s="96">
        <f>SUM(O42:O53)</f>
        <v>-3483</v>
      </c>
      <c r="P54" s="96">
        <f>SUM(P42:P53)</f>
        <v>-5476</v>
      </c>
      <c r="Q54" s="96">
        <f>SUM(Q42:Q53)</f>
        <v>-1408</v>
      </c>
      <c r="R54" s="126">
        <f t="shared" ref="R54" si="4">SUM(R42:R53)</f>
        <v>-9436</v>
      </c>
      <c r="S54" s="126">
        <f>SUM(S42:S53)</f>
        <v>-12355</v>
      </c>
      <c r="T54" s="126">
        <f t="shared" ref="T54" si="5">SUM(T42:T53)</f>
        <v>-6327</v>
      </c>
      <c r="U54" s="126">
        <f>SUM(U42:U53)</f>
        <v>-3357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rowBreaks count="1" manualBreakCount="1">
    <brk id="3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42578125" customWidth="1"/>
    <col min="7" max="7" width="5.7109375" bestFit="1" customWidth="1"/>
    <col min="8" max="13" width="5" bestFit="1" customWidth="1"/>
    <col min="14" max="18" width="9.28515625" bestFit="1" customWidth="1"/>
    <col min="19" max="21" width="10.7109375" bestFit="1" customWidth="1"/>
  </cols>
  <sheetData>
    <row r="1" spans="1:21" x14ac:dyDescent="0.2">
      <c r="A1" s="121" t="s">
        <v>221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62413</v>
      </c>
      <c r="P5" s="117">
        <v>69234</v>
      </c>
      <c r="Q5" s="117">
        <v>77092</v>
      </c>
      <c r="R5" s="1">
        <v>85253</v>
      </c>
      <c r="S5" s="1">
        <v>93431</v>
      </c>
      <c r="T5" s="1">
        <v>102898</v>
      </c>
      <c r="U5" s="1">
        <v>162330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50769</v>
      </c>
      <c r="P6" s="117">
        <v>52148</v>
      </c>
      <c r="Q6" s="117">
        <v>62081</v>
      </c>
      <c r="R6" s="1">
        <v>67014</v>
      </c>
      <c r="S6" s="1">
        <v>74758</v>
      </c>
      <c r="T6" s="1">
        <v>79094</v>
      </c>
      <c r="U6" s="1">
        <v>83433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46959</v>
      </c>
      <c r="P7" s="117">
        <v>50969</v>
      </c>
      <c r="Q7" s="117">
        <v>55227</v>
      </c>
      <c r="R7" s="1">
        <v>55586</v>
      </c>
      <c r="S7" s="1">
        <v>70080</v>
      </c>
      <c r="T7" s="1">
        <v>71043</v>
      </c>
      <c r="U7" s="1">
        <v>76307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0</v>
      </c>
      <c r="O8" s="117">
        <v>52069</v>
      </c>
      <c r="P8" s="117">
        <v>60058</v>
      </c>
      <c r="Q8" s="117">
        <v>62069</v>
      </c>
      <c r="R8" s="1">
        <v>67528</v>
      </c>
      <c r="S8" s="1">
        <v>97057</v>
      </c>
      <c r="T8" s="1">
        <v>93921</v>
      </c>
      <c r="U8" s="1">
        <v>105339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46548</v>
      </c>
      <c r="O9" s="117">
        <v>56678</v>
      </c>
      <c r="P9" s="117">
        <v>52661</v>
      </c>
      <c r="Q9" s="117">
        <v>65064</v>
      </c>
      <c r="R9" s="1">
        <v>72804</v>
      </c>
      <c r="S9" s="1">
        <v>90374</v>
      </c>
      <c r="T9" s="1">
        <v>91786</v>
      </c>
      <c r="U9" s="1">
        <v>91158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69264</v>
      </c>
      <c r="O10" s="117">
        <v>67556</v>
      </c>
      <c r="P10" s="117">
        <v>70291</v>
      </c>
      <c r="Q10" s="117">
        <v>78559</v>
      </c>
      <c r="R10" s="1">
        <v>88375</v>
      </c>
      <c r="S10" s="1">
        <v>93940</v>
      </c>
      <c r="T10" s="1">
        <v>110845</v>
      </c>
      <c r="U10" s="1">
        <v>121458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61568</v>
      </c>
      <c r="O11" s="117">
        <v>65610</v>
      </c>
      <c r="P11" s="117">
        <v>79492</v>
      </c>
      <c r="Q11" s="117">
        <v>78202</v>
      </c>
      <c r="R11" s="1">
        <v>96557</v>
      </c>
      <c r="S11" s="1">
        <v>104509</v>
      </c>
      <c r="T11" s="1">
        <v>125607</v>
      </c>
      <c r="U11" s="1">
        <v>133582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80119</v>
      </c>
      <c r="O12" s="117">
        <v>79313</v>
      </c>
      <c r="P12" s="117">
        <v>85181</v>
      </c>
      <c r="Q12" s="117">
        <v>90580</v>
      </c>
      <c r="R12" s="1">
        <v>98856</v>
      </c>
      <c r="S12" s="1">
        <v>103950</v>
      </c>
      <c r="T12" s="1">
        <v>116935</v>
      </c>
      <c r="U12" s="1">
        <v>111162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67533</v>
      </c>
      <c r="O13" s="117">
        <v>66891</v>
      </c>
      <c r="P13" s="117">
        <v>74603</v>
      </c>
      <c r="Q13" s="117">
        <v>84261</v>
      </c>
      <c r="R13" s="2">
        <v>90261</v>
      </c>
      <c r="S13" s="1">
        <v>102237</v>
      </c>
      <c r="T13" s="1">
        <v>120393</v>
      </c>
      <c r="U13" s="1">
        <v>111465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67145</v>
      </c>
      <c r="O14" s="117">
        <v>71820</v>
      </c>
      <c r="P14" s="117">
        <v>73000</v>
      </c>
      <c r="Q14" s="117">
        <v>83774</v>
      </c>
      <c r="R14" s="1">
        <v>94065</v>
      </c>
      <c r="S14" s="1">
        <v>110257</v>
      </c>
      <c r="T14" s="1">
        <v>132944</v>
      </c>
      <c r="U14" s="1">
        <v>115326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58235</v>
      </c>
      <c r="O15" s="117">
        <v>44151</v>
      </c>
      <c r="P15" s="117">
        <v>74312</v>
      </c>
      <c r="Q15" s="117">
        <v>78958</v>
      </c>
      <c r="R15" s="1">
        <v>82897</v>
      </c>
      <c r="S15" s="1">
        <v>95231</v>
      </c>
      <c r="T15" s="1">
        <v>108160</v>
      </c>
      <c r="U15" s="1">
        <v>99157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54173</v>
      </c>
      <c r="O16" s="95">
        <v>60743</v>
      </c>
      <c r="P16" s="95">
        <v>68223</v>
      </c>
      <c r="Q16" s="95">
        <v>71219</v>
      </c>
      <c r="R16" s="1">
        <v>79694</v>
      </c>
      <c r="S16" s="1">
        <v>96835</v>
      </c>
      <c r="T16" s="1">
        <v>99537</v>
      </c>
      <c r="U16" s="1">
        <v>97574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504585</v>
      </c>
      <c r="O17" s="96">
        <f>SUM(O5:O16)</f>
        <v>724972</v>
      </c>
      <c r="P17" s="96">
        <f>SUM(P5:P16)</f>
        <v>810172</v>
      </c>
      <c r="Q17" s="96">
        <f>SUM(Q5:Q16)</f>
        <v>887086</v>
      </c>
      <c r="R17" s="126">
        <f t="shared" ref="R17" si="0">SUM(R5:R16)</f>
        <v>978890</v>
      </c>
      <c r="S17" s="126">
        <f>SUM(S5:S16)</f>
        <v>1132659</v>
      </c>
      <c r="T17" s="126">
        <f t="shared" ref="T17" si="1">SUM(T5:T16)</f>
        <v>1253163</v>
      </c>
      <c r="U17" s="126">
        <f>SUM(U5:U16)</f>
        <v>1308291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10676</v>
      </c>
      <c r="P24" s="117">
        <v>10983</v>
      </c>
      <c r="Q24" s="117">
        <v>20206</v>
      </c>
      <c r="R24" s="117">
        <v>9780</v>
      </c>
      <c r="S24" s="1">
        <v>16488</v>
      </c>
      <c r="T24" s="1">
        <v>20490</v>
      </c>
      <c r="U24" s="1">
        <v>17632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6918</v>
      </c>
      <c r="P25" s="117">
        <v>8007</v>
      </c>
      <c r="Q25" s="117">
        <v>8635</v>
      </c>
      <c r="R25" s="1">
        <v>6795</v>
      </c>
      <c r="S25" s="1">
        <v>8671</v>
      </c>
      <c r="T25" s="1">
        <v>10183</v>
      </c>
      <c r="U25" s="1">
        <v>10014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7074</v>
      </c>
      <c r="P26" s="117">
        <v>8111</v>
      </c>
      <c r="Q26" s="117">
        <v>7483</v>
      </c>
      <c r="R26" s="1">
        <v>7564</v>
      </c>
      <c r="S26" s="1">
        <v>8108</v>
      </c>
      <c r="T26" s="1">
        <v>7031</v>
      </c>
      <c r="U26" s="1">
        <v>10794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0</v>
      </c>
      <c r="O27" s="117">
        <v>9098</v>
      </c>
      <c r="P27" s="117">
        <v>9199</v>
      </c>
      <c r="Q27" s="117">
        <v>9025</v>
      </c>
      <c r="R27" s="1">
        <v>9979</v>
      </c>
      <c r="S27" s="1">
        <v>5184</v>
      </c>
      <c r="T27" s="1">
        <v>14227</v>
      </c>
      <c r="U27" s="1">
        <v>13761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5276</v>
      </c>
      <c r="O28" s="117">
        <v>7641</v>
      </c>
      <c r="P28" s="117">
        <v>8815</v>
      </c>
      <c r="Q28" s="117">
        <v>8115</v>
      </c>
      <c r="R28" s="1">
        <v>8461</v>
      </c>
      <c r="S28" s="1">
        <v>9737</v>
      </c>
      <c r="T28" s="1">
        <v>3307</v>
      </c>
      <c r="U28" s="1">
        <v>13814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5173</v>
      </c>
      <c r="O29" s="117">
        <v>7874</v>
      </c>
      <c r="P29" s="117">
        <v>10090</v>
      </c>
      <c r="Q29" s="117">
        <v>8787</v>
      </c>
      <c r="R29" s="1">
        <v>8211</v>
      </c>
      <c r="S29" s="1">
        <v>9743</v>
      </c>
      <c r="T29" s="1">
        <v>14049</v>
      </c>
      <c r="U29" s="1">
        <v>10163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7762</v>
      </c>
      <c r="O30" s="117">
        <v>11053</v>
      </c>
      <c r="P30" s="117">
        <v>11379</v>
      </c>
      <c r="Q30" s="117">
        <v>11099</v>
      </c>
      <c r="R30" s="1">
        <v>10622</v>
      </c>
      <c r="S30" s="1">
        <v>26066</v>
      </c>
      <c r="T30" s="1">
        <v>16345</v>
      </c>
      <c r="U30" s="1">
        <v>17169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5693</v>
      </c>
      <c r="O31" s="117">
        <v>8166</v>
      </c>
      <c r="P31" s="117">
        <v>10814</v>
      </c>
      <c r="Q31" s="117">
        <v>10170</v>
      </c>
      <c r="R31" s="1">
        <v>9752</v>
      </c>
      <c r="S31" s="1">
        <v>8612</v>
      </c>
      <c r="T31" s="1">
        <v>15268</v>
      </c>
      <c r="U31" s="1">
        <v>13559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7363</v>
      </c>
      <c r="O32" s="117">
        <v>9069</v>
      </c>
      <c r="P32" s="117">
        <v>9644</v>
      </c>
      <c r="Q32" s="117">
        <v>13180</v>
      </c>
      <c r="R32" s="2">
        <v>9892</v>
      </c>
      <c r="S32" s="1">
        <v>9583</v>
      </c>
      <c r="T32" s="1">
        <v>16902</v>
      </c>
      <c r="U32" s="1">
        <v>13944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12845</v>
      </c>
      <c r="O33" s="117">
        <v>10322</v>
      </c>
      <c r="P33" s="117">
        <v>13167</v>
      </c>
      <c r="Q33" s="117">
        <v>22721</v>
      </c>
      <c r="R33" s="1">
        <v>10936</v>
      </c>
      <c r="S33" s="1">
        <v>18221</v>
      </c>
      <c r="T33" s="1">
        <v>23741</v>
      </c>
      <c r="U33" s="1">
        <v>25955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9786</v>
      </c>
      <c r="O34" s="117">
        <v>9167</v>
      </c>
      <c r="P34" s="117">
        <v>9580</v>
      </c>
      <c r="Q34" s="117">
        <v>12133</v>
      </c>
      <c r="R34" s="1">
        <v>4651</v>
      </c>
      <c r="S34" s="1">
        <v>5310</v>
      </c>
      <c r="T34" s="1">
        <v>14758</v>
      </c>
      <c r="U34" s="1">
        <v>11597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9732</v>
      </c>
      <c r="O35" s="95">
        <v>8460</v>
      </c>
      <c r="P35" s="95">
        <v>9685</v>
      </c>
      <c r="Q35" s="95">
        <v>11037</v>
      </c>
      <c r="R35" s="1">
        <v>16505</v>
      </c>
      <c r="S35" s="1">
        <v>14532</v>
      </c>
      <c r="T35" s="1">
        <v>25899</v>
      </c>
      <c r="U35" s="1">
        <v>11659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63630</v>
      </c>
      <c r="O36" s="96">
        <f>SUM(O24:O35)</f>
        <v>105518</v>
      </c>
      <c r="P36" s="96">
        <f>SUM(P24:P35)</f>
        <v>119474</v>
      </c>
      <c r="Q36" s="96">
        <f>SUM(Q24:Q35)</f>
        <v>142591</v>
      </c>
      <c r="R36" s="126">
        <f t="shared" ref="R36" si="2">SUM(R24:R35)</f>
        <v>113148</v>
      </c>
      <c r="S36" s="126">
        <f>SUM(S24:S35)</f>
        <v>140255</v>
      </c>
      <c r="T36" s="126">
        <f t="shared" ref="T36" si="3">SUM(T24:T35)</f>
        <v>182200</v>
      </c>
      <c r="U36" s="126">
        <f>SUM(U24:U35)</f>
        <v>170061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-33</v>
      </c>
      <c r="Q42" s="117">
        <v>-3407</v>
      </c>
      <c r="R42" s="117">
        <v>0</v>
      </c>
      <c r="S42" s="117">
        <v>0</v>
      </c>
      <c r="T42" s="1">
        <v>-2150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0</v>
      </c>
      <c r="Q43" s="117">
        <v>0</v>
      </c>
      <c r="R43" s="1">
        <v>-34</v>
      </c>
      <c r="S43" s="117">
        <v>0</v>
      </c>
      <c r="T43" s="1">
        <v>-15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0</v>
      </c>
      <c r="Q44" s="117">
        <v>0</v>
      </c>
      <c r="R44" s="113">
        <v>-123</v>
      </c>
      <c r="S44" s="117">
        <v>-2</v>
      </c>
      <c r="T44" s="1">
        <v>0</v>
      </c>
      <c r="U44" s="117">
        <v>-514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-51</v>
      </c>
      <c r="P45" s="117">
        <v>-33</v>
      </c>
      <c r="Q45" s="117">
        <v>-15</v>
      </c>
      <c r="R45" s="117">
        <v>-6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-18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-29</v>
      </c>
      <c r="P47" s="117">
        <v>0</v>
      </c>
      <c r="Q47" s="117">
        <v>0</v>
      </c>
      <c r="R47" s="1">
        <v>-123</v>
      </c>
      <c r="S47" s="117">
        <v>-20</v>
      </c>
      <c r="T47" s="1">
        <v>-3112</v>
      </c>
      <c r="U47" s="1">
        <v>-1369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0</v>
      </c>
      <c r="P48" s="117">
        <v>0</v>
      </c>
      <c r="Q48" s="117">
        <v>0</v>
      </c>
      <c r="R48" s="1">
        <v>-3184</v>
      </c>
      <c r="S48" s="117">
        <v>0</v>
      </c>
      <c r="T48" s="1">
        <v>-737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-28</v>
      </c>
      <c r="O49" s="117">
        <v>-13</v>
      </c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-694</v>
      </c>
      <c r="P50" s="117">
        <v>0</v>
      </c>
      <c r="Q50" s="117">
        <v>-1864</v>
      </c>
      <c r="R50" s="117">
        <v>0</v>
      </c>
      <c r="S50" s="117">
        <v>0</v>
      </c>
      <c r="T50" s="1">
        <v>0</v>
      </c>
      <c r="U50" s="117">
        <v>-690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0</v>
      </c>
      <c r="O51" s="117">
        <v>-6</v>
      </c>
      <c r="P51" s="117">
        <v>0</v>
      </c>
      <c r="Q51" s="117">
        <v>0</v>
      </c>
      <c r="R51" s="117">
        <v>0</v>
      </c>
      <c r="S51" s="117">
        <v>-18</v>
      </c>
      <c r="T51" s="1">
        <v>0</v>
      </c>
      <c r="U51" s="117">
        <v>-4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0</v>
      </c>
      <c r="P52" s="117">
        <v>-22</v>
      </c>
      <c r="Q52" s="117">
        <v>-34</v>
      </c>
      <c r="R52" s="117">
        <v>0</v>
      </c>
      <c r="S52" s="117">
        <v>-130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-20617</v>
      </c>
      <c r="O53" s="168">
        <v>0</v>
      </c>
      <c r="P53" s="168">
        <v>-12</v>
      </c>
      <c r="Q53" s="168">
        <v>0</v>
      </c>
      <c r="R53" s="168">
        <v>0</v>
      </c>
      <c r="S53" s="182">
        <v>0</v>
      </c>
      <c r="T53" s="1">
        <v>0</v>
      </c>
      <c r="U53" s="1">
        <v>-3303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-20645</v>
      </c>
      <c r="O54" s="96">
        <f>SUM(O42:O53)</f>
        <v>-793</v>
      </c>
      <c r="P54" s="96">
        <f>SUM(P42:P53)</f>
        <v>-100</v>
      </c>
      <c r="Q54" s="96">
        <f>SUM(Q42:Q53)</f>
        <v>-5320</v>
      </c>
      <c r="R54" s="126">
        <f t="shared" ref="R54" si="4">SUM(R42:R53)</f>
        <v>-3470</v>
      </c>
      <c r="S54" s="126">
        <f>SUM(S42:S53)</f>
        <v>-170</v>
      </c>
      <c r="T54" s="126">
        <f t="shared" ref="T54" si="5">SUM(T42:T53)</f>
        <v>-6032</v>
      </c>
      <c r="U54" s="126">
        <f>SUM(U42:U53)</f>
        <v>-5880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U80"/>
  <sheetViews>
    <sheetView zoomScaleNormal="100"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" customWidth="1"/>
    <col min="7" max="7" width="5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219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174840</v>
      </c>
      <c r="P5" s="117">
        <v>180238</v>
      </c>
      <c r="Q5" s="117">
        <v>216003</v>
      </c>
      <c r="R5" s="1">
        <v>238613</v>
      </c>
      <c r="S5" s="1">
        <v>249700</v>
      </c>
      <c r="T5" s="1">
        <v>293506</v>
      </c>
      <c r="U5" s="1">
        <v>308515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136891</v>
      </c>
      <c r="P6" s="117">
        <v>146129</v>
      </c>
      <c r="Q6" s="117">
        <v>167406</v>
      </c>
      <c r="R6" s="1">
        <v>187544</v>
      </c>
      <c r="S6" s="1">
        <v>215454</v>
      </c>
      <c r="T6" s="1">
        <v>243283</v>
      </c>
      <c r="U6" s="1">
        <v>249868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136868</v>
      </c>
      <c r="P7" s="117">
        <v>141421</v>
      </c>
      <c r="Q7" s="117">
        <v>159092</v>
      </c>
      <c r="R7" s="1">
        <v>182681</v>
      </c>
      <c r="S7" s="1">
        <v>202127</v>
      </c>
      <c r="T7" s="1">
        <v>243590</v>
      </c>
      <c r="U7" s="1">
        <v>221883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316</v>
      </c>
      <c r="O8" s="117">
        <v>156938</v>
      </c>
      <c r="P8" s="117">
        <v>166391</v>
      </c>
      <c r="Q8" s="117">
        <v>196114</v>
      </c>
      <c r="R8" s="1">
        <v>196612</v>
      </c>
      <c r="S8" s="1">
        <v>271099</v>
      </c>
      <c r="T8" s="1">
        <v>270165</v>
      </c>
      <c r="U8" s="1">
        <v>267784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130726</v>
      </c>
      <c r="O9" s="117">
        <v>165357</v>
      </c>
      <c r="P9" s="117">
        <v>161624</v>
      </c>
      <c r="Q9" s="117">
        <v>200566</v>
      </c>
      <c r="R9" s="1">
        <v>205002</v>
      </c>
      <c r="S9" s="1">
        <v>260593</v>
      </c>
      <c r="T9" s="1">
        <v>272053</v>
      </c>
      <c r="U9" s="1">
        <v>263750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164307</v>
      </c>
      <c r="O10" s="117">
        <v>194154</v>
      </c>
      <c r="P10" s="117">
        <v>215370</v>
      </c>
      <c r="Q10" s="117">
        <v>242916</v>
      </c>
      <c r="R10" s="1">
        <v>251805</v>
      </c>
      <c r="S10" s="1">
        <v>299086</v>
      </c>
      <c r="T10" s="1">
        <v>315880</v>
      </c>
      <c r="U10" s="1">
        <v>327976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165558</v>
      </c>
      <c r="O11" s="117">
        <v>193889</v>
      </c>
      <c r="P11" s="117">
        <v>206888</v>
      </c>
      <c r="Q11" s="117">
        <v>228457</v>
      </c>
      <c r="R11" s="1">
        <v>257482</v>
      </c>
      <c r="S11" s="1">
        <v>290822</v>
      </c>
      <c r="T11" s="1">
        <v>349125</v>
      </c>
      <c r="U11" s="1">
        <v>363556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196623</v>
      </c>
      <c r="O12" s="117">
        <v>205711</v>
      </c>
      <c r="P12" s="117">
        <v>242855</v>
      </c>
      <c r="Q12" s="117">
        <v>264119</v>
      </c>
      <c r="R12" s="1">
        <v>291579</v>
      </c>
      <c r="S12" s="1">
        <v>305302</v>
      </c>
      <c r="T12" s="1">
        <v>310895</v>
      </c>
      <c r="U12" s="1">
        <v>303233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175973</v>
      </c>
      <c r="O13" s="117">
        <v>182809</v>
      </c>
      <c r="P13" s="117">
        <v>204047</v>
      </c>
      <c r="Q13" s="117">
        <v>233289</v>
      </c>
      <c r="R13" s="2">
        <v>252477</v>
      </c>
      <c r="S13" s="1">
        <v>276499</v>
      </c>
      <c r="T13" s="1">
        <v>319372</v>
      </c>
      <c r="U13" s="1">
        <v>302338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171572</v>
      </c>
      <c r="O14" s="117">
        <v>186996</v>
      </c>
      <c r="P14" s="117">
        <v>208690</v>
      </c>
      <c r="Q14" s="117">
        <v>230877</v>
      </c>
      <c r="R14" s="1">
        <v>241331</v>
      </c>
      <c r="S14" s="1">
        <v>292395</v>
      </c>
      <c r="T14" s="1">
        <v>317256</v>
      </c>
      <c r="U14" s="1">
        <v>318361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162818</v>
      </c>
      <c r="O15" s="117">
        <v>174302</v>
      </c>
      <c r="P15" s="117">
        <v>210708</v>
      </c>
      <c r="Q15" s="117">
        <v>229107</v>
      </c>
      <c r="R15" s="1">
        <v>235477</v>
      </c>
      <c r="S15" s="1">
        <v>278032</v>
      </c>
      <c r="T15" s="1">
        <v>321291</v>
      </c>
      <c r="U15" s="1">
        <v>293247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145417</v>
      </c>
      <c r="O16" s="95">
        <v>158811</v>
      </c>
      <c r="P16" s="95">
        <v>190116</v>
      </c>
      <c r="Q16" s="95">
        <v>207763</v>
      </c>
      <c r="R16" s="1">
        <v>228633</v>
      </c>
      <c r="S16" s="1">
        <v>258473</v>
      </c>
      <c r="T16" s="1">
        <v>276583</v>
      </c>
      <c r="U16" s="1">
        <v>267756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1313310</v>
      </c>
      <c r="O17" s="96">
        <f>SUM(O5:O16)</f>
        <v>2067566</v>
      </c>
      <c r="P17" s="96">
        <f>SUM(P5:P16)</f>
        <v>2274477</v>
      </c>
      <c r="Q17" s="96">
        <f>SUM(Q5:Q16)</f>
        <v>2575709</v>
      </c>
      <c r="R17" s="126">
        <f t="shared" ref="R17" si="0">SUM(R5:R16)</f>
        <v>2769236</v>
      </c>
      <c r="S17" s="126">
        <f>SUM(S5:S16)</f>
        <v>3199582</v>
      </c>
      <c r="T17" s="126">
        <f t="shared" ref="T17" si="1">SUM(T5:T16)</f>
        <v>3532999</v>
      </c>
      <c r="U17" s="126">
        <f>SUM(U5:U16)</f>
        <v>3488267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11125</v>
      </c>
      <c r="P24" s="117">
        <v>13303</v>
      </c>
      <c r="Q24" s="117">
        <v>13577</v>
      </c>
      <c r="R24" s="1">
        <v>11271</v>
      </c>
      <c r="S24" s="1">
        <v>14390</v>
      </c>
      <c r="T24" s="1">
        <v>13710</v>
      </c>
      <c r="U24" s="1">
        <v>19214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6651</v>
      </c>
      <c r="P25" s="117">
        <v>11914</v>
      </c>
      <c r="Q25" s="117">
        <v>9494</v>
      </c>
      <c r="R25" s="1">
        <v>7526</v>
      </c>
      <c r="S25" s="1">
        <v>6566</v>
      </c>
      <c r="T25" s="1">
        <v>14147</v>
      </c>
      <c r="U25" s="1">
        <v>12425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8548</v>
      </c>
      <c r="P26" s="117">
        <v>5918</v>
      </c>
      <c r="Q26" s="117">
        <v>5911</v>
      </c>
      <c r="R26" s="1">
        <v>8173</v>
      </c>
      <c r="S26" s="1">
        <v>6386</v>
      </c>
      <c r="T26" s="1">
        <v>5716</v>
      </c>
      <c r="U26" s="1">
        <v>11959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0</v>
      </c>
      <c r="O27" s="117">
        <v>8642</v>
      </c>
      <c r="P27" s="117">
        <v>9177</v>
      </c>
      <c r="Q27" s="117">
        <v>12127</v>
      </c>
      <c r="R27" s="1">
        <v>7507</v>
      </c>
      <c r="S27" s="1">
        <v>11109</v>
      </c>
      <c r="T27" s="1">
        <v>10253</v>
      </c>
      <c r="U27" s="1">
        <v>9882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7171</v>
      </c>
      <c r="O28" s="117">
        <v>8055</v>
      </c>
      <c r="P28" s="117">
        <v>6870</v>
      </c>
      <c r="Q28" s="117">
        <v>7550</v>
      </c>
      <c r="R28" s="1">
        <v>6610</v>
      </c>
      <c r="S28" s="1">
        <v>11794</v>
      </c>
      <c r="T28" s="1">
        <v>8890</v>
      </c>
      <c r="U28" s="1">
        <v>6690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8327</v>
      </c>
      <c r="O29" s="117">
        <v>7976</v>
      </c>
      <c r="P29" s="117">
        <v>6846</v>
      </c>
      <c r="Q29" s="117">
        <v>9525</v>
      </c>
      <c r="R29" s="1">
        <v>9827</v>
      </c>
      <c r="S29" s="1">
        <v>9074</v>
      </c>
      <c r="T29" s="1">
        <v>16203</v>
      </c>
      <c r="U29" s="1">
        <v>10755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7836</v>
      </c>
      <c r="O30" s="117">
        <v>13634</v>
      </c>
      <c r="P30" s="117">
        <v>10569</v>
      </c>
      <c r="Q30" s="117">
        <v>10793</v>
      </c>
      <c r="R30" s="1">
        <v>13500</v>
      </c>
      <c r="S30" s="1">
        <v>12560</v>
      </c>
      <c r="T30" s="1">
        <v>14989</v>
      </c>
      <c r="U30" s="1">
        <v>16016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10585</v>
      </c>
      <c r="O31" s="117">
        <v>5056</v>
      </c>
      <c r="P31" s="117">
        <v>9197</v>
      </c>
      <c r="Q31" s="117">
        <v>12941</v>
      </c>
      <c r="R31" s="1">
        <v>10118</v>
      </c>
      <c r="S31" s="1">
        <v>12884</v>
      </c>
      <c r="T31" s="1">
        <v>14871</v>
      </c>
      <c r="U31" s="1">
        <v>11190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10625</v>
      </c>
      <c r="O32" s="117">
        <v>9423</v>
      </c>
      <c r="P32" s="117">
        <v>10550</v>
      </c>
      <c r="Q32" s="117">
        <v>11633</v>
      </c>
      <c r="R32" s="2">
        <v>13559</v>
      </c>
      <c r="S32" s="1">
        <v>25349</v>
      </c>
      <c r="T32" s="1">
        <v>11754</v>
      </c>
      <c r="U32" s="1">
        <v>12058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7912</v>
      </c>
      <c r="O33" s="117">
        <v>10336</v>
      </c>
      <c r="P33" s="117">
        <v>9962</v>
      </c>
      <c r="Q33" s="117">
        <v>12924</v>
      </c>
      <c r="R33" s="1">
        <v>11315</v>
      </c>
      <c r="S33" s="1">
        <v>14389</v>
      </c>
      <c r="T33" s="1">
        <v>14241</v>
      </c>
      <c r="U33" s="1">
        <v>30175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6911</v>
      </c>
      <c r="O34" s="117">
        <v>13666</v>
      </c>
      <c r="P34" s="117">
        <v>10284</v>
      </c>
      <c r="Q34" s="117">
        <v>8343</v>
      </c>
      <c r="R34" s="1">
        <v>5678</v>
      </c>
      <c r="S34" s="1">
        <v>4839</v>
      </c>
      <c r="T34" s="1">
        <v>10365</v>
      </c>
      <c r="U34" s="1">
        <v>16938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4892</v>
      </c>
      <c r="O35" s="95">
        <v>7700</v>
      </c>
      <c r="P35" s="95">
        <v>14532</v>
      </c>
      <c r="Q35" s="95">
        <v>9113</v>
      </c>
      <c r="R35" s="1">
        <v>11113</v>
      </c>
      <c r="S35" s="1">
        <v>8761</v>
      </c>
      <c r="T35" s="1">
        <v>12146</v>
      </c>
      <c r="U35" s="1">
        <v>15449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64259</v>
      </c>
      <c r="O36" s="96">
        <f>SUM(O24:O35)</f>
        <v>110812</v>
      </c>
      <c r="P36" s="96">
        <f>SUM(P24:P35)</f>
        <v>119122</v>
      </c>
      <c r="Q36" s="96">
        <f>SUM(Q24:Q35)</f>
        <v>123931</v>
      </c>
      <c r="R36" s="126">
        <f t="shared" ref="R36" si="2">SUM(R24:R35)</f>
        <v>116197</v>
      </c>
      <c r="S36" s="126">
        <f>SUM(S24:S35)</f>
        <v>138101</v>
      </c>
      <c r="T36" s="126">
        <f t="shared" ref="T36" si="3">SUM(T24:T35)</f>
        <v>147285</v>
      </c>
      <c r="U36" s="126">
        <f>SUM(U24:U35)</f>
        <v>172751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-142</v>
      </c>
      <c r="P42" s="117">
        <v>-1426</v>
      </c>
      <c r="Q42" s="117">
        <v>0</v>
      </c>
      <c r="R42" s="1">
        <v>-4</v>
      </c>
      <c r="S42" s="117">
        <v>0</v>
      </c>
      <c r="T42" s="1">
        <v>-24</v>
      </c>
      <c r="U42" s="117">
        <v>-155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-289</v>
      </c>
      <c r="P43" s="117">
        <v>-314</v>
      </c>
      <c r="Q43" s="117">
        <v>-4063</v>
      </c>
      <c r="R43" s="1">
        <v>-742</v>
      </c>
      <c r="S43" s="117">
        <v>0</v>
      </c>
      <c r="T43" s="1">
        <v>0</v>
      </c>
      <c r="U43" s="117">
        <v>-742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-208</v>
      </c>
      <c r="Q44" s="117">
        <v>-2380</v>
      </c>
      <c r="R44" s="117">
        <v>-23</v>
      </c>
      <c r="S44" s="1">
        <v>-5351</v>
      </c>
      <c r="T44" s="1">
        <v>-2739</v>
      </c>
      <c r="U44" s="1">
        <v>-9939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-11803</v>
      </c>
      <c r="P45" s="117">
        <v>0</v>
      </c>
      <c r="Q45" s="117">
        <v>-364</v>
      </c>
      <c r="R45" s="1">
        <v>-3306</v>
      </c>
      <c r="S45" s="117">
        <v>0</v>
      </c>
      <c r="T45" s="1">
        <v>-290</v>
      </c>
      <c r="U45" s="1">
        <v>-5797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0</v>
      </c>
      <c r="P46" s="117">
        <v>-35</v>
      </c>
      <c r="Q46" s="117">
        <v>-9</v>
      </c>
      <c r="R46" s="1">
        <v>-3968</v>
      </c>
      <c r="S46" s="117">
        <v>-85</v>
      </c>
      <c r="T46" s="1">
        <v>-4937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-163</v>
      </c>
      <c r="P47" s="117">
        <v>-2023</v>
      </c>
      <c r="Q47" s="117">
        <v>-873</v>
      </c>
      <c r="R47" s="1">
        <v>-1999</v>
      </c>
      <c r="S47" s="117">
        <v>0</v>
      </c>
      <c r="T47" s="1">
        <v>-581</v>
      </c>
      <c r="U47" s="117">
        <v>-285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-624</v>
      </c>
      <c r="P48" s="117">
        <v>0</v>
      </c>
      <c r="Q48" s="117">
        <v>-18</v>
      </c>
      <c r="R48" s="1">
        <v>-294</v>
      </c>
      <c r="S48" s="117">
        <v>-29</v>
      </c>
      <c r="T48" s="1">
        <v>-155</v>
      </c>
      <c r="U48" s="1">
        <v>-6414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0</v>
      </c>
      <c r="O49" s="117">
        <v>-1655</v>
      </c>
      <c r="P49" s="117">
        <v>0</v>
      </c>
      <c r="Q49" s="117">
        <v>-1261</v>
      </c>
      <c r="R49" s="117">
        <v>-4347</v>
      </c>
      <c r="S49" s="117">
        <v>-31</v>
      </c>
      <c r="T49" s="1">
        <v>-14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0</v>
      </c>
      <c r="O50" s="117">
        <v>-32</v>
      </c>
      <c r="P50" s="117">
        <v>0</v>
      </c>
      <c r="Q50" s="117">
        <v>-11</v>
      </c>
      <c r="R50" s="117">
        <v>0</v>
      </c>
      <c r="S50" s="117">
        <v>-150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-10</v>
      </c>
      <c r="O51" s="117">
        <v>-614</v>
      </c>
      <c r="P51" s="117">
        <v>0</v>
      </c>
      <c r="Q51" s="117">
        <v>-4</v>
      </c>
      <c r="R51" s="117">
        <v>-41</v>
      </c>
      <c r="S51" s="117">
        <v>-652</v>
      </c>
      <c r="T51" s="1">
        <v>-1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-27</v>
      </c>
      <c r="P52" s="117">
        <v>-467</v>
      </c>
      <c r="Q52" s="117">
        <v>-695</v>
      </c>
      <c r="R52" s="1">
        <v>-11356</v>
      </c>
      <c r="S52" s="1">
        <v>-1597</v>
      </c>
      <c r="T52" s="1">
        <v>-302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0</v>
      </c>
      <c r="O53" s="168">
        <v>-11664</v>
      </c>
      <c r="P53" s="168">
        <v>-384</v>
      </c>
      <c r="Q53" s="168">
        <v>0</v>
      </c>
      <c r="R53" s="1">
        <v>-637</v>
      </c>
      <c r="S53" s="182">
        <v>-55</v>
      </c>
      <c r="T53" s="1">
        <v>-119</v>
      </c>
      <c r="U53" s="182">
        <v>-94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-10</v>
      </c>
      <c r="O54" s="96">
        <f>SUM(O42:O53)</f>
        <v>-27013</v>
      </c>
      <c r="P54" s="96">
        <f>SUM(P42:P53)</f>
        <v>-4857</v>
      </c>
      <c r="Q54" s="96">
        <f>SUM(Q42:Q53)</f>
        <v>-9678</v>
      </c>
      <c r="R54" s="126">
        <f t="shared" ref="R54" si="4">SUM(R42:R53)</f>
        <v>-26717</v>
      </c>
      <c r="S54" s="126">
        <f>SUM(S42:S53)</f>
        <v>-7950</v>
      </c>
      <c r="T54" s="126">
        <f t="shared" ref="T54" si="5">SUM(T42:T53)</f>
        <v>-9162</v>
      </c>
      <c r="U54" s="126">
        <f>SUM(U42:U53)</f>
        <v>-23426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21" width="10.7109375" bestFit="1" customWidth="1"/>
  </cols>
  <sheetData>
    <row r="1" spans="1:21" x14ac:dyDescent="0.2">
      <c r="A1" s="121" t="s">
        <v>215</v>
      </c>
    </row>
    <row r="2" spans="1:21" x14ac:dyDescent="0.2">
      <c r="A2" s="24" t="s">
        <v>84</v>
      </c>
      <c r="B2" s="6">
        <v>5.0000000000000001E-3</v>
      </c>
      <c r="D2" s="94" t="s">
        <v>216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587274</v>
      </c>
      <c r="P5" s="117">
        <v>557825</v>
      </c>
      <c r="Q5" s="117">
        <v>590289</v>
      </c>
      <c r="R5" s="1">
        <v>615162</v>
      </c>
      <c r="S5" s="1">
        <v>617136</v>
      </c>
      <c r="T5" s="1">
        <v>657808</v>
      </c>
      <c r="U5" s="1">
        <v>720780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414563</v>
      </c>
      <c r="P6" s="117">
        <v>439225</v>
      </c>
      <c r="Q6" s="117">
        <v>449640</v>
      </c>
      <c r="R6" s="1">
        <v>460944</v>
      </c>
      <c r="S6" s="1">
        <v>506420</v>
      </c>
      <c r="T6" s="1">
        <v>563641</v>
      </c>
      <c r="U6" s="1">
        <v>601879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386758</v>
      </c>
      <c r="P7" s="117">
        <v>395827</v>
      </c>
      <c r="Q7" s="117">
        <v>394546</v>
      </c>
      <c r="R7" s="1">
        <v>453601</v>
      </c>
      <c r="S7" s="1">
        <v>470231</v>
      </c>
      <c r="T7" s="1">
        <v>543003</v>
      </c>
      <c r="U7" s="1">
        <v>569822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>
        <v>405</v>
      </c>
      <c r="O8" s="117">
        <v>465795</v>
      </c>
      <c r="P8" s="117">
        <v>494370</v>
      </c>
      <c r="Q8" s="117">
        <v>498215</v>
      </c>
      <c r="R8" s="1">
        <v>465354</v>
      </c>
      <c r="S8" s="1">
        <v>617596</v>
      </c>
      <c r="T8" s="1">
        <v>630578</v>
      </c>
      <c r="U8" s="1">
        <v>732380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>
        <v>445640</v>
      </c>
      <c r="O9" s="117">
        <v>465897</v>
      </c>
      <c r="P9" s="117">
        <v>446936</v>
      </c>
      <c r="Q9" s="117">
        <v>487088</v>
      </c>
      <c r="R9" s="1">
        <v>437810</v>
      </c>
      <c r="S9" s="1">
        <v>586573</v>
      </c>
      <c r="T9" s="1">
        <v>586476</v>
      </c>
      <c r="U9" s="1">
        <v>644360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>
        <v>464488</v>
      </c>
      <c r="O10" s="117">
        <v>491143</v>
      </c>
      <c r="P10" s="117">
        <v>519512</v>
      </c>
      <c r="Q10" s="117">
        <v>516335</v>
      </c>
      <c r="R10" s="1">
        <v>530252</v>
      </c>
      <c r="S10" s="1">
        <v>622274</v>
      </c>
      <c r="T10" s="1">
        <v>800136</v>
      </c>
      <c r="U10" s="1">
        <v>715205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>
        <v>446517</v>
      </c>
      <c r="O11" s="117">
        <v>480157</v>
      </c>
      <c r="P11" s="117">
        <v>473085</v>
      </c>
      <c r="Q11" s="117">
        <v>513888</v>
      </c>
      <c r="R11" s="1">
        <v>479384</v>
      </c>
      <c r="S11" s="1">
        <v>621963</v>
      </c>
      <c r="T11" s="1">
        <v>696693</v>
      </c>
      <c r="U11" s="1">
        <v>824807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>
        <v>538529</v>
      </c>
      <c r="O12" s="117">
        <v>542988</v>
      </c>
      <c r="P12" s="117">
        <v>582975</v>
      </c>
      <c r="Q12" s="117">
        <v>552254</v>
      </c>
      <c r="R12" s="1">
        <v>634209</v>
      </c>
      <c r="S12" s="1">
        <v>661324</v>
      </c>
      <c r="T12" s="1">
        <v>671696</v>
      </c>
      <c r="U12" s="1">
        <v>667092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>
        <v>492730</v>
      </c>
      <c r="O13" s="117">
        <v>504260</v>
      </c>
      <c r="P13" s="117">
        <v>526244</v>
      </c>
      <c r="Q13" s="117">
        <v>547186</v>
      </c>
      <c r="R13" s="2">
        <v>543386</v>
      </c>
      <c r="S13" s="1">
        <v>624451</v>
      </c>
      <c r="T13" s="1">
        <v>690701</v>
      </c>
      <c r="U13" s="1">
        <v>678355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>
        <v>488004</v>
      </c>
      <c r="O14" s="117">
        <v>494946</v>
      </c>
      <c r="P14" s="117">
        <v>510151</v>
      </c>
      <c r="Q14" s="117">
        <v>529397</v>
      </c>
      <c r="R14" s="1">
        <v>559170</v>
      </c>
      <c r="S14" s="1">
        <v>657511</v>
      </c>
      <c r="T14" s="1">
        <v>683301</v>
      </c>
      <c r="U14" s="1">
        <v>665361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>
        <v>472359</v>
      </c>
      <c r="O15" s="117">
        <v>472539</v>
      </c>
      <c r="P15" s="117">
        <v>523729</v>
      </c>
      <c r="Q15" s="117">
        <v>540009</v>
      </c>
      <c r="R15" s="1">
        <v>530923</v>
      </c>
      <c r="S15" s="1">
        <v>616593</v>
      </c>
      <c r="T15" s="1">
        <v>663122</v>
      </c>
      <c r="U15" s="1">
        <v>675080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>
        <v>468684</v>
      </c>
      <c r="O16" s="95">
        <v>485678</v>
      </c>
      <c r="P16" s="95">
        <v>546920</v>
      </c>
      <c r="Q16" s="95">
        <v>536155</v>
      </c>
      <c r="R16" s="1">
        <v>553732</v>
      </c>
      <c r="S16" s="1">
        <v>589112</v>
      </c>
      <c r="T16" s="1">
        <v>756215</v>
      </c>
      <c r="U16" s="1">
        <v>895215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>
        <f>SUM(N5:N16)</f>
        <v>3817356</v>
      </c>
      <c r="O17" s="96">
        <f>SUM(O5:O16)</f>
        <v>5791998</v>
      </c>
      <c r="P17" s="96">
        <f>SUM(P5:P16)</f>
        <v>6016799</v>
      </c>
      <c r="Q17" s="96">
        <f>SUM(Q5:Q16)</f>
        <v>6155002</v>
      </c>
      <c r="R17" s="126">
        <f t="shared" ref="R17" si="0">SUM(R5:R16)</f>
        <v>6263927</v>
      </c>
      <c r="S17" s="126">
        <f>SUM(S5:S16)</f>
        <v>7191184</v>
      </c>
      <c r="T17" s="126">
        <f t="shared" ref="T17" si="1">SUM(T5:T16)</f>
        <v>7943370</v>
      </c>
      <c r="U17" s="126">
        <f>SUM(U5:U16)</f>
        <v>8390336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216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13927</v>
      </c>
      <c r="P24" s="117">
        <v>25292</v>
      </c>
      <c r="Q24" s="117">
        <v>30339</v>
      </c>
      <c r="R24" s="1">
        <v>27567</v>
      </c>
      <c r="S24" s="1">
        <v>26804</v>
      </c>
      <c r="T24" s="1">
        <v>28636</v>
      </c>
      <c r="U24" s="1">
        <v>37585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13901</v>
      </c>
      <c r="P25" s="117">
        <v>18511</v>
      </c>
      <c r="Q25" s="117">
        <v>25996</v>
      </c>
      <c r="R25" s="1">
        <v>17511</v>
      </c>
      <c r="S25" s="1">
        <v>13412</v>
      </c>
      <c r="T25" s="1">
        <v>23300</v>
      </c>
      <c r="U25" s="1">
        <v>30007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8904</v>
      </c>
      <c r="P26" s="117">
        <v>16041</v>
      </c>
      <c r="Q26" s="117">
        <v>16882</v>
      </c>
      <c r="R26" s="1">
        <v>17393</v>
      </c>
      <c r="S26" s="1">
        <v>14215</v>
      </c>
      <c r="T26" s="1">
        <v>20860</v>
      </c>
      <c r="U26" s="1">
        <v>26617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>
        <v>0</v>
      </c>
      <c r="O27" s="117">
        <v>18415</v>
      </c>
      <c r="P27" s="117">
        <v>21993</v>
      </c>
      <c r="Q27" s="117">
        <v>27379</v>
      </c>
      <c r="R27" s="1">
        <v>17768</v>
      </c>
      <c r="S27" s="1">
        <v>20987</v>
      </c>
      <c r="T27" s="1">
        <v>24087</v>
      </c>
      <c r="U27" s="1">
        <v>29282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>
        <v>14850</v>
      </c>
      <c r="O28" s="117">
        <v>15737</v>
      </c>
      <c r="P28" s="117">
        <v>18153</v>
      </c>
      <c r="Q28" s="117">
        <v>24261</v>
      </c>
      <c r="R28" s="1">
        <v>8098</v>
      </c>
      <c r="S28" s="1">
        <v>17904</v>
      </c>
      <c r="T28" s="1">
        <v>24731</v>
      </c>
      <c r="U28" s="1">
        <v>29129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>
        <v>15634</v>
      </c>
      <c r="O29" s="117">
        <v>16403</v>
      </c>
      <c r="P29" s="117">
        <v>24318</v>
      </c>
      <c r="Q29" s="117">
        <v>25191</v>
      </c>
      <c r="R29" s="1">
        <v>17618</v>
      </c>
      <c r="S29" s="1">
        <v>20679</v>
      </c>
      <c r="T29" s="1">
        <v>32116</v>
      </c>
      <c r="U29" s="1">
        <v>24562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>
        <v>16119</v>
      </c>
      <c r="O30" s="117">
        <v>22034</v>
      </c>
      <c r="P30" s="117">
        <v>29695</v>
      </c>
      <c r="Q30" s="117">
        <v>19728</v>
      </c>
      <c r="R30" s="1">
        <v>25606</v>
      </c>
      <c r="S30" s="1">
        <v>25507</v>
      </c>
      <c r="T30" s="1">
        <v>42867</v>
      </c>
      <c r="U30" s="1">
        <v>34203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>
        <v>21539</v>
      </c>
      <c r="O31" s="117">
        <v>24836</v>
      </c>
      <c r="P31" s="117">
        <v>26888</v>
      </c>
      <c r="Q31" s="117">
        <v>27191</v>
      </c>
      <c r="R31" s="1">
        <v>20587</v>
      </c>
      <c r="S31" s="1">
        <v>52706</v>
      </c>
      <c r="T31" s="1">
        <v>32596</v>
      </c>
      <c r="U31" s="1">
        <v>28183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>
        <v>18242</v>
      </c>
      <c r="O32" s="117">
        <v>31304</v>
      </c>
      <c r="P32" s="117">
        <v>23910</v>
      </c>
      <c r="Q32" s="117">
        <v>31711</v>
      </c>
      <c r="R32" s="2">
        <v>25654</v>
      </c>
      <c r="S32" s="1">
        <v>18541</v>
      </c>
      <c r="T32" s="1">
        <v>27628</v>
      </c>
      <c r="U32" s="1">
        <v>31977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>
        <v>20455</v>
      </c>
      <c r="O33" s="117">
        <v>22852</v>
      </c>
      <c r="P33" s="117">
        <v>30822</v>
      </c>
      <c r="Q33" s="117">
        <v>28566</v>
      </c>
      <c r="R33" s="1">
        <v>27462</v>
      </c>
      <c r="S33" s="1">
        <v>27079</v>
      </c>
      <c r="T33" s="1">
        <v>48599</v>
      </c>
      <c r="U33" s="1">
        <v>31128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>
        <v>17728</v>
      </c>
      <c r="O34" s="117">
        <v>21572</v>
      </c>
      <c r="P34" s="117">
        <v>26113</v>
      </c>
      <c r="Q34" s="117">
        <v>31918</v>
      </c>
      <c r="R34" s="1">
        <v>24773</v>
      </c>
      <c r="S34" s="1">
        <v>31772</v>
      </c>
      <c r="T34" s="1">
        <v>30267</v>
      </c>
      <c r="U34" s="1">
        <v>30243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>
        <v>19617</v>
      </c>
      <c r="O35" s="95">
        <v>19534</v>
      </c>
      <c r="P35" s="95">
        <v>26417</v>
      </c>
      <c r="Q35" s="95">
        <v>21102</v>
      </c>
      <c r="R35" s="1">
        <v>17523</v>
      </c>
      <c r="S35" s="1">
        <v>22234</v>
      </c>
      <c r="T35" s="1">
        <v>28147</v>
      </c>
      <c r="U35" s="1">
        <v>29571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>
        <f>SUM(N24:N35)</f>
        <v>144184</v>
      </c>
      <c r="O36" s="96">
        <f>SUM(O24:O35)</f>
        <v>229419</v>
      </c>
      <c r="P36" s="96">
        <f>SUM(P24:P35)</f>
        <v>288153</v>
      </c>
      <c r="Q36" s="96">
        <f>SUM(Q24:Q35)</f>
        <v>310264</v>
      </c>
      <c r="R36" s="126">
        <f t="shared" ref="R36" si="2">SUM(R24:R35)</f>
        <v>247560</v>
      </c>
      <c r="S36" s="126">
        <f>SUM(S24:S35)</f>
        <v>291840</v>
      </c>
      <c r="T36" s="126">
        <f t="shared" ref="T36" si="3">SUM(T24:T35)</f>
        <v>363834</v>
      </c>
      <c r="U36" s="126">
        <f>SUM(U24:U35)</f>
        <v>362487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-37</v>
      </c>
      <c r="P42" s="117">
        <v>-111</v>
      </c>
      <c r="Q42" s="117">
        <v>-169</v>
      </c>
      <c r="R42" s="1">
        <v>-8153</v>
      </c>
      <c r="S42" s="1">
        <v>-15681</v>
      </c>
      <c r="T42" s="1">
        <v>-1699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-218</v>
      </c>
      <c r="P43" s="117">
        <v>0</v>
      </c>
      <c r="Q43" s="117">
        <v>-7408</v>
      </c>
      <c r="R43" s="1">
        <v>-122</v>
      </c>
      <c r="S43" s="117">
        <v>-74</v>
      </c>
      <c r="T43" s="1">
        <v>-101</v>
      </c>
      <c r="U43" s="117">
        <v>-1628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-2453</v>
      </c>
      <c r="P44" s="117">
        <v>0</v>
      </c>
      <c r="Q44" s="117">
        <v>-98</v>
      </c>
      <c r="R44" s="1">
        <v>-2343</v>
      </c>
      <c r="S44" s="117">
        <v>-137</v>
      </c>
      <c r="T44" s="1">
        <v>-75</v>
      </c>
      <c r="U44" s="117">
        <v>-399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>
        <v>0</v>
      </c>
      <c r="O45" s="117">
        <v>-380</v>
      </c>
      <c r="P45" s="117">
        <v>-3754</v>
      </c>
      <c r="Q45" s="117">
        <v>-11034</v>
      </c>
      <c r="R45" s="1">
        <v>-1357</v>
      </c>
      <c r="S45" s="117">
        <v>-416</v>
      </c>
      <c r="T45" s="1">
        <v>0</v>
      </c>
      <c r="U45" s="117">
        <v>-266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>
        <v>0</v>
      </c>
      <c r="O46" s="117">
        <v>-209</v>
      </c>
      <c r="P46" s="117">
        <v>-41</v>
      </c>
      <c r="Q46" s="117">
        <v>-997</v>
      </c>
      <c r="R46" s="1">
        <v>-9196</v>
      </c>
      <c r="S46" s="117">
        <v>-312</v>
      </c>
      <c r="T46" s="1">
        <v>-3109</v>
      </c>
      <c r="U46" s="117">
        <v>-127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>
        <v>0</v>
      </c>
      <c r="O47" s="117">
        <v>-498</v>
      </c>
      <c r="P47" s="117">
        <v>-161</v>
      </c>
      <c r="Q47" s="117">
        <v>-293</v>
      </c>
      <c r="R47" s="1">
        <v>-294</v>
      </c>
      <c r="S47" s="1">
        <v>-1283</v>
      </c>
      <c r="T47" s="1">
        <v>-2261</v>
      </c>
      <c r="U47" s="1">
        <v>-4488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>
        <v>0</v>
      </c>
      <c r="O48" s="117">
        <v>-32</v>
      </c>
      <c r="P48" s="117">
        <v>-1537</v>
      </c>
      <c r="Q48" s="117">
        <v>-36</v>
      </c>
      <c r="R48" s="1">
        <v>-10957</v>
      </c>
      <c r="S48" s="117">
        <v>-73</v>
      </c>
      <c r="T48" s="1">
        <v>-141</v>
      </c>
      <c r="U48" s="117">
        <v>-4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>
        <v>-4</v>
      </c>
      <c r="O49" s="117">
        <v>-80</v>
      </c>
      <c r="P49" s="117">
        <v>-183</v>
      </c>
      <c r="Q49" s="117">
        <v>-367</v>
      </c>
      <c r="R49" s="1">
        <v>-2241</v>
      </c>
      <c r="S49" s="1">
        <v>-4232</v>
      </c>
      <c r="T49" s="1">
        <v>-1219</v>
      </c>
      <c r="U49" s="1">
        <v>-45237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>
        <v>-27</v>
      </c>
      <c r="O50" s="117">
        <v>0</v>
      </c>
      <c r="P50" s="117">
        <v>0</v>
      </c>
      <c r="Q50" s="117">
        <v>-3690</v>
      </c>
      <c r="R50" s="117">
        <v>-4</v>
      </c>
      <c r="S50" s="117">
        <v>0</v>
      </c>
      <c r="T50" s="1">
        <v>-321</v>
      </c>
      <c r="U50" s="117">
        <v>-65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>
        <v>-62</v>
      </c>
      <c r="O51" s="117">
        <v>-89</v>
      </c>
      <c r="P51" s="117">
        <v>-141</v>
      </c>
      <c r="Q51" s="117">
        <v>0</v>
      </c>
      <c r="R51" s="117">
        <v>-145</v>
      </c>
      <c r="S51" s="1">
        <v>-2687</v>
      </c>
      <c r="T51" s="1">
        <v>-816</v>
      </c>
      <c r="U51" s="1">
        <v>-2930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>
        <v>0</v>
      </c>
      <c r="O52" s="117">
        <v>0</v>
      </c>
      <c r="P52" s="117">
        <v>-530</v>
      </c>
      <c r="Q52" s="117">
        <v>-1288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168">
        <v>0</v>
      </c>
      <c r="O53" s="168">
        <v>-166</v>
      </c>
      <c r="P53" s="168">
        <v>-7571</v>
      </c>
      <c r="Q53" s="168">
        <v>-1085</v>
      </c>
      <c r="R53" s="1">
        <v>-1266</v>
      </c>
      <c r="S53" s="182">
        <v>-5</v>
      </c>
      <c r="T53" s="1">
        <v>0</v>
      </c>
      <c r="U53" s="1">
        <v>-4673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>
        <f>SUM(N42:N53)</f>
        <v>-93</v>
      </c>
      <c r="O54" s="96">
        <f>SUM(O42:O53)</f>
        <v>-4162</v>
      </c>
      <c r="P54" s="96">
        <f>SUM(P42:P53)</f>
        <v>-14029</v>
      </c>
      <c r="Q54" s="96">
        <f>SUM(Q42:Q53)</f>
        <v>-26465</v>
      </c>
      <c r="R54" s="126">
        <f t="shared" ref="R54" si="4">SUM(R42:R53)</f>
        <v>-36078</v>
      </c>
      <c r="S54" s="126">
        <f>SUM(S42:S53)</f>
        <v>-24900</v>
      </c>
      <c r="T54" s="126">
        <f t="shared" ref="T54" si="5">SUM(T42:T53)</f>
        <v>-9742</v>
      </c>
      <c r="U54" s="126">
        <f>SUM(U42:U53)</f>
        <v>-59817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  <col min="24" max="24" width="11.85546875" customWidth="1"/>
  </cols>
  <sheetData>
    <row r="1" spans="1:21" x14ac:dyDescent="0.2">
      <c r="A1" s="121" t="s">
        <v>279</v>
      </c>
    </row>
    <row r="2" spans="1:21" x14ac:dyDescent="0.2">
      <c r="A2" s="24" t="s">
        <v>84</v>
      </c>
      <c r="B2" s="6">
        <v>5.0000000000000001E-3</v>
      </c>
      <c r="D2" s="94" t="s">
        <v>276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0</v>
      </c>
      <c r="P5" s="117">
        <v>236044</v>
      </c>
      <c r="Q5" s="117">
        <v>270705</v>
      </c>
      <c r="R5" s="1">
        <v>294485</v>
      </c>
      <c r="S5" s="1">
        <v>297037</v>
      </c>
      <c r="T5" s="1">
        <v>378680</v>
      </c>
      <c r="U5" s="1">
        <v>365025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146065</v>
      </c>
      <c r="P6" s="117">
        <v>200393</v>
      </c>
      <c r="Q6" s="117">
        <v>207447</v>
      </c>
      <c r="R6" s="1">
        <v>230662</v>
      </c>
      <c r="S6" s="1">
        <v>235457</v>
      </c>
      <c r="T6" s="1">
        <v>270564</v>
      </c>
      <c r="U6" s="1">
        <v>273398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166411</v>
      </c>
      <c r="P7" s="117">
        <v>172740</v>
      </c>
      <c r="Q7" s="117">
        <v>207493</v>
      </c>
      <c r="R7" s="1">
        <v>202626</v>
      </c>
      <c r="S7" s="1">
        <v>229219</v>
      </c>
      <c r="T7" s="1">
        <v>262051</v>
      </c>
      <c r="U7" s="1">
        <v>263154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>
        <v>196559</v>
      </c>
      <c r="P8" s="117">
        <v>209371</v>
      </c>
      <c r="Q8" s="117">
        <v>223053</v>
      </c>
      <c r="R8" s="1">
        <v>217017</v>
      </c>
      <c r="S8" s="1">
        <v>300848</v>
      </c>
      <c r="T8" s="1">
        <v>298942</v>
      </c>
      <c r="U8" s="1">
        <v>314303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>
        <v>199685</v>
      </c>
      <c r="P9" s="117">
        <v>197653</v>
      </c>
      <c r="Q9" s="117">
        <v>227737</v>
      </c>
      <c r="R9" s="1">
        <v>209631</v>
      </c>
      <c r="S9" s="1">
        <v>270749</v>
      </c>
      <c r="T9" s="1">
        <v>330700</v>
      </c>
      <c r="U9" s="1">
        <v>405251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>
        <v>238977</v>
      </c>
      <c r="P10" s="117">
        <v>236427</v>
      </c>
      <c r="Q10" s="117">
        <v>255436</v>
      </c>
      <c r="R10" s="1">
        <v>252046</v>
      </c>
      <c r="S10" s="1">
        <v>287868</v>
      </c>
      <c r="T10" s="1">
        <v>332129</v>
      </c>
      <c r="U10" s="1">
        <v>336103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191635</v>
      </c>
      <c r="P11" s="117">
        <v>205593</v>
      </c>
      <c r="Q11" s="117">
        <v>242974</v>
      </c>
      <c r="R11" s="1">
        <v>228126</v>
      </c>
      <c r="S11" s="1">
        <v>308541</v>
      </c>
      <c r="T11" s="1">
        <v>320976</v>
      </c>
      <c r="U11" s="1">
        <v>343738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254950</v>
      </c>
      <c r="P12" s="117">
        <v>273910</v>
      </c>
      <c r="Q12" s="117">
        <v>282716</v>
      </c>
      <c r="R12" s="1">
        <v>307512</v>
      </c>
      <c r="S12" s="1">
        <v>303548</v>
      </c>
      <c r="T12" s="1">
        <v>309219</v>
      </c>
      <c r="U12" s="1">
        <v>302056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241983</v>
      </c>
      <c r="P13" s="117">
        <v>269109</v>
      </c>
      <c r="Q13" s="117">
        <v>289486</v>
      </c>
      <c r="R13" s="2">
        <v>290329</v>
      </c>
      <c r="S13" s="1">
        <v>298146</v>
      </c>
      <c r="T13" s="1">
        <v>342493</v>
      </c>
      <c r="U13" s="1">
        <v>347980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225865</v>
      </c>
      <c r="P14" s="117">
        <v>233619</v>
      </c>
      <c r="Q14" s="117">
        <v>253936</v>
      </c>
      <c r="R14" s="1">
        <v>272462</v>
      </c>
      <c r="S14" s="1">
        <v>308719</v>
      </c>
      <c r="T14" s="1">
        <v>266342</v>
      </c>
      <c r="U14" s="1">
        <v>308129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218681</v>
      </c>
      <c r="P15" s="117">
        <v>246276</v>
      </c>
      <c r="Q15" s="117">
        <v>260037</v>
      </c>
      <c r="R15" s="1">
        <v>263395</v>
      </c>
      <c r="S15" s="1">
        <v>315642</v>
      </c>
      <c r="T15" s="1">
        <v>325418</v>
      </c>
      <c r="U15" s="1">
        <v>293790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208793</v>
      </c>
      <c r="P16" s="95">
        <v>248267</v>
      </c>
      <c r="Q16" s="95">
        <v>240340</v>
      </c>
      <c r="R16" s="1">
        <v>268298</v>
      </c>
      <c r="S16" s="1">
        <v>290247</v>
      </c>
      <c r="T16" s="1">
        <v>363635</v>
      </c>
      <c r="U16" s="1">
        <v>293122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2289604</v>
      </c>
      <c r="P17" s="96">
        <f>SUM(P5:P16)</f>
        <v>2729402</v>
      </c>
      <c r="Q17" s="96">
        <f>SUM(Q5:Q16)</f>
        <v>2961360</v>
      </c>
      <c r="R17" s="126">
        <f t="shared" ref="R17" si="0">SUM(R5:R16)</f>
        <v>3036589</v>
      </c>
      <c r="S17" s="126">
        <f>SUM(S5:S16)</f>
        <v>3446021</v>
      </c>
      <c r="T17" s="126">
        <f t="shared" ref="T17" si="1">SUM(T5:T16)</f>
        <v>3801149</v>
      </c>
      <c r="U17" s="126">
        <f>SUM(U5:U16)</f>
        <v>3846049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276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0</v>
      </c>
      <c r="P24" s="117">
        <v>10204</v>
      </c>
      <c r="Q24" s="117">
        <v>26040</v>
      </c>
      <c r="R24" s="1">
        <v>32225</v>
      </c>
      <c r="S24" s="1">
        <v>17533</v>
      </c>
      <c r="T24" s="1">
        <v>23624</v>
      </c>
      <c r="U24" s="1">
        <v>24049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10856</v>
      </c>
      <c r="P25" s="117">
        <v>14880</v>
      </c>
      <c r="Q25" s="117">
        <v>19685</v>
      </c>
      <c r="R25" s="1">
        <v>22626</v>
      </c>
      <c r="S25" s="1">
        <v>13850</v>
      </c>
      <c r="T25" s="1">
        <v>25131</v>
      </c>
      <c r="U25" s="1">
        <v>17746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7948</v>
      </c>
      <c r="P26" s="117">
        <v>16345</v>
      </c>
      <c r="Q26" s="117">
        <v>20292</v>
      </c>
      <c r="R26" s="1">
        <v>9161</v>
      </c>
      <c r="S26" s="1">
        <v>14459</v>
      </c>
      <c r="T26" s="1">
        <v>10750</v>
      </c>
      <c r="U26" s="1">
        <v>17567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>
        <v>37638</v>
      </c>
      <c r="P27" s="117">
        <v>31580</v>
      </c>
      <c r="Q27" s="117">
        <v>14584</v>
      </c>
      <c r="R27" s="1">
        <v>19783</v>
      </c>
      <c r="S27" s="1">
        <v>12846</v>
      </c>
      <c r="T27" s="1">
        <v>10086</v>
      </c>
      <c r="U27" s="1">
        <v>18909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>
        <v>12575</v>
      </c>
      <c r="P28" s="117">
        <v>13836</v>
      </c>
      <c r="Q28" s="117">
        <v>13615</v>
      </c>
      <c r="R28" s="1">
        <v>10077</v>
      </c>
      <c r="S28" s="1">
        <v>27733</v>
      </c>
      <c r="T28" s="1">
        <v>13667</v>
      </c>
      <c r="U28" s="1">
        <v>15113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>
        <v>17980</v>
      </c>
      <c r="P29" s="117">
        <v>35306</v>
      </c>
      <c r="Q29" s="117">
        <v>35710</v>
      </c>
      <c r="R29" s="1">
        <v>12532</v>
      </c>
      <c r="S29" s="1">
        <v>12324</v>
      </c>
      <c r="T29" s="1">
        <v>2705</v>
      </c>
      <c r="U29" s="1">
        <v>21078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40248</v>
      </c>
      <c r="P30" s="117">
        <v>17978</v>
      </c>
      <c r="Q30" s="117">
        <v>18840</v>
      </c>
      <c r="R30" s="1">
        <v>13532</v>
      </c>
      <c r="S30" s="1">
        <v>13558</v>
      </c>
      <c r="T30" s="1">
        <v>12472</v>
      </c>
      <c r="U30" s="1">
        <v>23441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13308</v>
      </c>
      <c r="P31" s="117">
        <v>15487</v>
      </c>
      <c r="Q31" s="117">
        <v>19353</v>
      </c>
      <c r="R31" s="1">
        <v>12920</v>
      </c>
      <c r="S31" s="1">
        <v>12572</v>
      </c>
      <c r="T31" s="1">
        <v>12236</v>
      </c>
      <c r="U31" s="1">
        <v>11549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28283</v>
      </c>
      <c r="P32" s="117">
        <v>17140</v>
      </c>
      <c r="Q32" s="117">
        <v>34911</v>
      </c>
      <c r="R32" s="2">
        <v>15887</v>
      </c>
      <c r="S32" s="1">
        <v>14313</v>
      </c>
      <c r="T32" s="1">
        <v>15765</v>
      </c>
      <c r="U32" s="1">
        <v>17550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33276</v>
      </c>
      <c r="P33" s="117">
        <v>13760</v>
      </c>
      <c r="Q33" s="117">
        <v>31878</v>
      </c>
      <c r="R33" s="1">
        <v>13897</v>
      </c>
      <c r="S33" s="1">
        <v>20433</v>
      </c>
      <c r="T33" s="1">
        <v>23222</v>
      </c>
      <c r="U33" s="1">
        <v>29725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18466</v>
      </c>
      <c r="P34" s="117">
        <v>14261</v>
      </c>
      <c r="Q34" s="117">
        <v>2350</v>
      </c>
      <c r="R34" s="1">
        <v>13933</v>
      </c>
      <c r="S34" s="1">
        <v>7712</v>
      </c>
      <c r="T34" s="1">
        <v>16251</v>
      </c>
      <c r="U34" s="1">
        <v>18451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17163</v>
      </c>
      <c r="P35" s="95">
        <v>18859</v>
      </c>
      <c r="Q35" s="95">
        <v>18547</v>
      </c>
      <c r="R35" s="1">
        <v>23440</v>
      </c>
      <c r="S35" s="1">
        <v>16147</v>
      </c>
      <c r="T35" s="1">
        <v>50409</v>
      </c>
      <c r="U35" s="1">
        <v>18098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237741</v>
      </c>
      <c r="P36" s="96">
        <f>SUM(P24:P35)</f>
        <v>219636</v>
      </c>
      <c r="Q36" s="96">
        <f>SUM(Q24:Q35)</f>
        <v>255805</v>
      </c>
      <c r="R36" s="126">
        <f t="shared" ref="R36" si="2">SUM(R24:R35)</f>
        <v>200013</v>
      </c>
      <c r="S36" s="126">
        <f>SUM(S24:S35)</f>
        <v>183480</v>
      </c>
      <c r="T36" s="126">
        <f t="shared" ref="T36" si="3">SUM(T24:T35)</f>
        <v>216318</v>
      </c>
      <c r="U36" s="126">
        <f>SUM(U24:U35)</f>
        <v>233276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-4</v>
      </c>
      <c r="Q42" s="117">
        <v>-412</v>
      </c>
      <c r="R42" s="1">
        <v>-587</v>
      </c>
      <c r="S42" s="117">
        <v>-368</v>
      </c>
      <c r="T42" s="1">
        <v>-6</v>
      </c>
      <c r="U42" s="1">
        <v>-62869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0</v>
      </c>
      <c r="Q43" s="117">
        <v>0</v>
      </c>
      <c r="R43" s="1">
        <v>-4726</v>
      </c>
      <c r="S43" s="117">
        <v>-919</v>
      </c>
      <c r="T43" s="1">
        <v>0</v>
      </c>
      <c r="U43" s="117">
        <v>-7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-573</v>
      </c>
      <c r="Q44" s="117">
        <v>0</v>
      </c>
      <c r="R44" s="117">
        <v>-6</v>
      </c>
      <c r="S44" s="1">
        <v>-3117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>
        <v>0</v>
      </c>
      <c r="P45" s="117">
        <v>-4</v>
      </c>
      <c r="Q45" s="117">
        <v>-1046</v>
      </c>
      <c r="R45" s="1">
        <v>-527</v>
      </c>
      <c r="S45" s="117">
        <v>-477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>
        <v>0</v>
      </c>
      <c r="P46" s="117">
        <v>0</v>
      </c>
      <c r="Q46" s="117">
        <v>0</v>
      </c>
      <c r="R46" s="143">
        <v>0</v>
      </c>
      <c r="S46" s="117">
        <v>-155</v>
      </c>
      <c r="T46" s="1">
        <v>0</v>
      </c>
      <c r="U46" s="117">
        <v>-9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>
        <v>0</v>
      </c>
      <c r="P47" s="117">
        <v>-1</v>
      </c>
      <c r="Q47" s="117">
        <v>0</v>
      </c>
      <c r="R47" s="1">
        <v>-905</v>
      </c>
      <c r="S47" s="1">
        <v>-36217</v>
      </c>
      <c r="T47" s="1">
        <v>0</v>
      </c>
      <c r="U47" s="1">
        <v>-140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-3</v>
      </c>
      <c r="Q48" s="117">
        <v>-3135</v>
      </c>
      <c r="R48" s="1">
        <v>-8</v>
      </c>
      <c r="S48" s="117">
        <v>-195</v>
      </c>
      <c r="T48" s="1">
        <v>-2961</v>
      </c>
      <c r="U48" s="1">
        <v>-108698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0</v>
      </c>
      <c r="Q49" s="117">
        <v>-250</v>
      </c>
      <c r="R49" s="117">
        <v>0</v>
      </c>
      <c r="S49" s="117">
        <v>-385</v>
      </c>
      <c r="T49" s="1">
        <v>-663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-6610</v>
      </c>
      <c r="U50" s="117">
        <v>-15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-3174</v>
      </c>
      <c r="R51" s="117">
        <v>-191</v>
      </c>
      <c r="S51" s="117">
        <v>0</v>
      </c>
      <c r="T51" s="1">
        <v>-1617</v>
      </c>
      <c r="U51" s="1">
        <v>-1276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-707</v>
      </c>
      <c r="Q52" s="117">
        <v>-5</v>
      </c>
      <c r="R52" s="1">
        <v>-2</v>
      </c>
      <c r="S52" s="1">
        <v>-79720</v>
      </c>
      <c r="T52" s="1">
        <v>-163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-82</v>
      </c>
      <c r="P53" s="168">
        <v>-39</v>
      </c>
      <c r="Q53" s="168">
        <v>0</v>
      </c>
      <c r="R53" s="168">
        <v>0</v>
      </c>
      <c r="S53" s="182">
        <v>0</v>
      </c>
      <c r="T53" s="1">
        <v>-10</v>
      </c>
      <c r="U53" s="1">
        <v>-1295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-82</v>
      </c>
      <c r="P54" s="96">
        <f>SUM(P42:P53)</f>
        <v>-1331</v>
      </c>
      <c r="Q54" s="96">
        <f>SUM(Q42:Q53)</f>
        <v>-8022</v>
      </c>
      <c r="R54" s="126">
        <f t="shared" ref="R54" si="4">SUM(R42:R53)</f>
        <v>-6952</v>
      </c>
      <c r="S54" s="126">
        <f>SUM(S42:S53)</f>
        <v>-121553</v>
      </c>
      <c r="T54" s="126">
        <f t="shared" ref="T54" si="5">SUM(T42:T53)</f>
        <v>-12030</v>
      </c>
      <c r="U54" s="126">
        <f>SUM(U42:U53)</f>
        <v>-174309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278</v>
      </c>
    </row>
    <row r="2" spans="1:21" x14ac:dyDescent="0.2">
      <c r="A2" s="24" t="s">
        <v>84</v>
      </c>
      <c r="B2" s="6">
        <v>5.0000000000000001E-3</v>
      </c>
      <c r="D2" s="94" t="s">
        <v>276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0</v>
      </c>
      <c r="P5" s="117">
        <v>79047</v>
      </c>
      <c r="Q5" s="117">
        <v>90202</v>
      </c>
      <c r="R5" s="1">
        <v>114367</v>
      </c>
      <c r="S5" s="1">
        <v>120486</v>
      </c>
      <c r="T5" s="1">
        <v>152691</v>
      </c>
      <c r="U5" s="1">
        <v>152704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64002</v>
      </c>
      <c r="P6" s="117">
        <v>65723</v>
      </c>
      <c r="Q6" s="117">
        <v>85141</v>
      </c>
      <c r="R6" s="1">
        <v>93256</v>
      </c>
      <c r="S6" s="1">
        <v>143120</v>
      </c>
      <c r="T6" s="1">
        <v>112442</v>
      </c>
      <c r="U6" s="1">
        <v>120242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60096</v>
      </c>
      <c r="P7" s="117">
        <v>59685</v>
      </c>
      <c r="Q7" s="117">
        <v>79835</v>
      </c>
      <c r="R7" s="1">
        <v>86945</v>
      </c>
      <c r="S7" s="1">
        <v>98006</v>
      </c>
      <c r="T7" s="1">
        <v>110025</v>
      </c>
      <c r="U7" s="1">
        <v>115822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>
        <v>68767</v>
      </c>
      <c r="P8" s="117">
        <v>69045</v>
      </c>
      <c r="Q8" s="117">
        <v>91934</v>
      </c>
      <c r="R8" s="1">
        <v>93291</v>
      </c>
      <c r="S8" s="1">
        <v>131140</v>
      </c>
      <c r="T8" s="1">
        <v>127886</v>
      </c>
      <c r="U8" s="1">
        <v>131609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>
        <v>68484</v>
      </c>
      <c r="P9" s="117">
        <v>67000</v>
      </c>
      <c r="Q9" s="117">
        <v>92549</v>
      </c>
      <c r="R9" s="1">
        <v>102633</v>
      </c>
      <c r="S9" s="1">
        <v>130775</v>
      </c>
      <c r="T9" s="1">
        <v>126000</v>
      </c>
      <c r="U9" s="1">
        <v>134307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>
        <v>83093</v>
      </c>
      <c r="P10" s="117">
        <v>88500</v>
      </c>
      <c r="Q10" s="117">
        <v>111043</v>
      </c>
      <c r="R10" s="1">
        <v>142248</v>
      </c>
      <c r="S10" s="1">
        <v>186450</v>
      </c>
      <c r="T10" s="1">
        <v>154773</v>
      </c>
      <c r="U10" s="1">
        <v>166148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80871</v>
      </c>
      <c r="P11" s="117">
        <v>97936</v>
      </c>
      <c r="Q11" s="117">
        <v>116217</v>
      </c>
      <c r="R11" s="1">
        <v>128095</v>
      </c>
      <c r="S11" s="1">
        <v>152052</v>
      </c>
      <c r="T11" s="1">
        <v>173000</v>
      </c>
      <c r="U11" s="1">
        <v>182993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102927</v>
      </c>
      <c r="P12" s="117">
        <v>123273</v>
      </c>
      <c r="Q12" s="117">
        <v>130960</v>
      </c>
      <c r="R12" s="1">
        <v>145038</v>
      </c>
      <c r="S12" s="1">
        <v>165084</v>
      </c>
      <c r="T12" s="1">
        <v>168647</v>
      </c>
      <c r="U12" s="1">
        <v>170838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92968</v>
      </c>
      <c r="P13" s="117">
        <v>103520</v>
      </c>
      <c r="Q13" s="117">
        <v>126040</v>
      </c>
      <c r="R13" s="2">
        <v>129825</v>
      </c>
      <c r="S13" s="1">
        <v>156039</v>
      </c>
      <c r="T13" s="1">
        <v>166904</v>
      </c>
      <c r="U13" s="1">
        <v>175441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89860</v>
      </c>
      <c r="P14" s="117">
        <v>94951</v>
      </c>
      <c r="Q14" s="117">
        <v>123355</v>
      </c>
      <c r="R14" s="1">
        <v>132807</v>
      </c>
      <c r="S14" s="1">
        <v>152010</v>
      </c>
      <c r="T14" s="1">
        <v>172290</v>
      </c>
      <c r="U14" s="1">
        <v>173455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78129</v>
      </c>
      <c r="P15" s="117">
        <v>93644</v>
      </c>
      <c r="Q15" s="117">
        <v>108020</v>
      </c>
      <c r="R15" s="1">
        <v>124693</v>
      </c>
      <c r="S15" s="1">
        <v>143120</v>
      </c>
      <c r="T15" s="1">
        <v>156842</v>
      </c>
      <c r="U15" s="1">
        <v>155005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73600</v>
      </c>
      <c r="P16" s="95">
        <v>84061</v>
      </c>
      <c r="Q16" s="95">
        <v>104267</v>
      </c>
      <c r="R16" s="1">
        <v>121351</v>
      </c>
      <c r="S16" s="1">
        <v>137751</v>
      </c>
      <c r="T16" s="1">
        <v>147417</v>
      </c>
      <c r="U16" s="1">
        <v>149746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862797</v>
      </c>
      <c r="P17" s="96">
        <f>SUM(P5:P16)</f>
        <v>1026385</v>
      </c>
      <c r="Q17" s="96">
        <f>SUM(Q5:Q16)</f>
        <v>1259563</v>
      </c>
      <c r="R17" s="126">
        <f t="shared" ref="R17" si="0">SUM(R5:R16)</f>
        <v>1414549</v>
      </c>
      <c r="S17" s="126">
        <f>SUM(S5:S16)</f>
        <v>1716033</v>
      </c>
      <c r="T17" s="126">
        <f t="shared" ref="T17" si="1">SUM(T5:T16)</f>
        <v>1768917</v>
      </c>
      <c r="U17" s="126">
        <f>SUM(U5:U16)</f>
        <v>1828310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276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0</v>
      </c>
      <c r="P24" s="117">
        <v>2964</v>
      </c>
      <c r="Q24" s="117">
        <v>7659</v>
      </c>
      <c r="R24" s="117">
        <v>4634</v>
      </c>
      <c r="S24" s="1">
        <v>4306</v>
      </c>
      <c r="T24" s="1">
        <v>7743</v>
      </c>
      <c r="U24" s="1">
        <v>7485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1250</v>
      </c>
      <c r="P25" s="117">
        <v>3692</v>
      </c>
      <c r="Q25" s="117">
        <v>3692</v>
      </c>
      <c r="R25" s="1">
        <v>4929</v>
      </c>
      <c r="S25" s="1">
        <v>4440</v>
      </c>
      <c r="T25" s="1">
        <v>4950</v>
      </c>
      <c r="U25" s="1">
        <v>4327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2030</v>
      </c>
      <c r="P26" s="117">
        <v>2382</v>
      </c>
      <c r="Q26" s="117">
        <v>3536</v>
      </c>
      <c r="R26" s="1">
        <v>2605</v>
      </c>
      <c r="S26" s="1">
        <v>3795</v>
      </c>
      <c r="T26" s="1">
        <v>2802</v>
      </c>
      <c r="U26" s="1">
        <v>4274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>
        <v>2104</v>
      </c>
      <c r="P27" s="117">
        <v>2841</v>
      </c>
      <c r="Q27" s="117">
        <v>2434</v>
      </c>
      <c r="R27" s="1">
        <v>3175</v>
      </c>
      <c r="S27" s="1">
        <v>3640</v>
      </c>
      <c r="T27" s="1">
        <v>9634</v>
      </c>
      <c r="U27" s="1">
        <v>6090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>
        <v>2462</v>
      </c>
      <c r="P28" s="117">
        <v>3969</v>
      </c>
      <c r="Q28" s="117">
        <v>2732</v>
      </c>
      <c r="R28" s="1">
        <v>2410</v>
      </c>
      <c r="S28" s="1">
        <v>4244</v>
      </c>
      <c r="T28" s="1">
        <v>2212</v>
      </c>
      <c r="U28" s="1">
        <v>7205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>
        <v>2444</v>
      </c>
      <c r="P29" s="117">
        <v>4705</v>
      </c>
      <c r="Q29" s="117">
        <v>2562</v>
      </c>
      <c r="R29" s="113">
        <v>5888</v>
      </c>
      <c r="S29" s="1">
        <v>5067</v>
      </c>
      <c r="T29" s="1">
        <v>4127</v>
      </c>
      <c r="U29" s="1">
        <v>6806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7794</v>
      </c>
      <c r="P30" s="117">
        <v>4357</v>
      </c>
      <c r="Q30" s="117">
        <v>4369</v>
      </c>
      <c r="R30" s="1">
        <v>5214</v>
      </c>
      <c r="S30" s="1">
        <v>5044</v>
      </c>
      <c r="T30" s="1">
        <v>10973</v>
      </c>
      <c r="U30" s="1">
        <v>5994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4068</v>
      </c>
      <c r="P31" s="117">
        <v>4105</v>
      </c>
      <c r="Q31" s="117">
        <v>4373</v>
      </c>
      <c r="R31" s="1">
        <v>3971</v>
      </c>
      <c r="S31" s="1">
        <v>3528</v>
      </c>
      <c r="T31" s="1">
        <v>4230</v>
      </c>
      <c r="U31" s="1">
        <v>3926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3366</v>
      </c>
      <c r="P32" s="117">
        <v>6211</v>
      </c>
      <c r="Q32" s="117">
        <v>4019</v>
      </c>
      <c r="R32" s="2">
        <v>3250</v>
      </c>
      <c r="S32" s="1">
        <v>6347</v>
      </c>
      <c r="T32" s="1">
        <v>5003</v>
      </c>
      <c r="U32" s="1">
        <v>4905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3209</v>
      </c>
      <c r="P33" s="117">
        <v>7263</v>
      </c>
      <c r="Q33" s="117">
        <v>3508</v>
      </c>
      <c r="R33" s="1">
        <v>4287</v>
      </c>
      <c r="S33" s="1">
        <v>6657</v>
      </c>
      <c r="T33" s="1">
        <v>6907</v>
      </c>
      <c r="U33" s="1">
        <v>7247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2427</v>
      </c>
      <c r="P34" s="117">
        <v>6676</v>
      </c>
      <c r="Q34" s="117">
        <v>5874</v>
      </c>
      <c r="R34" s="1">
        <v>4648</v>
      </c>
      <c r="S34" s="1">
        <v>-13612</v>
      </c>
      <c r="T34" s="1">
        <v>5181</v>
      </c>
      <c r="U34" s="1">
        <v>4507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2789</v>
      </c>
      <c r="P35" s="95">
        <v>10890</v>
      </c>
      <c r="Q35" s="95">
        <v>2968</v>
      </c>
      <c r="R35" s="1">
        <v>3345</v>
      </c>
      <c r="S35" s="1">
        <v>5207</v>
      </c>
      <c r="T35" s="1">
        <v>3864</v>
      </c>
      <c r="U35" s="1">
        <v>6133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33943</v>
      </c>
      <c r="P36" s="96">
        <f>SUM(P24:P35)</f>
        <v>60055</v>
      </c>
      <c r="Q36" s="96">
        <f>SUM(Q24:Q35)</f>
        <v>47726</v>
      </c>
      <c r="R36" s="126">
        <f t="shared" ref="R36" si="2">SUM(R24:R35)</f>
        <v>48356</v>
      </c>
      <c r="S36" s="126">
        <f>SUM(S24:S35)</f>
        <v>38663</v>
      </c>
      <c r="T36" s="126">
        <f t="shared" ref="T36" si="3">SUM(T24:T35)</f>
        <v>67626</v>
      </c>
      <c r="U36" s="126">
        <f>SUM(U24:U35)</f>
        <v>68899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-2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0</v>
      </c>
      <c r="Q43" s="117">
        <v>0</v>
      </c>
      <c r="R43" s="1">
        <v>-503</v>
      </c>
      <c r="S43" s="117">
        <v>0</v>
      </c>
      <c r="T43" s="1">
        <v>0</v>
      </c>
      <c r="U43" s="117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0</v>
      </c>
      <c r="Q44" s="117">
        <v>-1</v>
      </c>
      <c r="R44" s="117">
        <v>0</v>
      </c>
      <c r="S44" s="117">
        <v>-134</v>
      </c>
      <c r="T44" s="1">
        <v>-25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>
        <v>0</v>
      </c>
      <c r="P45" s="117">
        <v>0</v>
      </c>
      <c r="Q45" s="117">
        <v>0</v>
      </c>
      <c r="R45" s="117">
        <v>0</v>
      </c>
      <c r="S45" s="117">
        <v>-368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>
        <v>0</v>
      </c>
      <c r="P46" s="117">
        <v>-1</v>
      </c>
      <c r="Q46" s="117">
        <v>0</v>
      </c>
      <c r="R46" s="117">
        <v>0</v>
      </c>
      <c r="S46" s="117">
        <v>0</v>
      </c>
      <c r="T46" s="1">
        <v>-36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>
        <v>0</v>
      </c>
      <c r="P47" s="117">
        <v>-2</v>
      </c>
      <c r="Q47" s="117">
        <v>0</v>
      </c>
      <c r="R47" s="1">
        <v>-503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-946</v>
      </c>
      <c r="Q48" s="117">
        <v>0</v>
      </c>
      <c r="R48" s="1">
        <v>0</v>
      </c>
      <c r="S48" s="117">
        <v>0</v>
      </c>
      <c r="T48" s="1">
        <v>-123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0</v>
      </c>
      <c r="Q49" s="117">
        <v>0</v>
      </c>
      <c r="R49" s="117">
        <v>0</v>
      </c>
      <c r="S49" s="117">
        <v>-19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0</v>
      </c>
      <c r="R51" s="117">
        <v>-1</v>
      </c>
      <c r="S51" s="117">
        <v>0</v>
      </c>
      <c r="T51" s="1">
        <v>0</v>
      </c>
      <c r="U51" s="117">
        <v>-11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-37</v>
      </c>
      <c r="T52" s="1">
        <v>-123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0</v>
      </c>
      <c r="Q53" s="168">
        <v>0</v>
      </c>
      <c r="R53" s="168">
        <v>-211</v>
      </c>
      <c r="S53" s="182">
        <v>0</v>
      </c>
      <c r="T53" s="1">
        <v>-1</v>
      </c>
      <c r="U53" s="182">
        <v>-791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-951</v>
      </c>
      <c r="Q54" s="96">
        <f>SUM(Q42:Q53)</f>
        <v>-1</v>
      </c>
      <c r="R54" s="126">
        <f t="shared" ref="R54" si="4">SUM(R42:R53)</f>
        <v>-1218</v>
      </c>
      <c r="S54" s="126">
        <f>SUM(S42:S53)</f>
        <v>-558</v>
      </c>
      <c r="T54" s="126">
        <f t="shared" ref="T54" si="5">SUM(T42:T53)</f>
        <v>-308</v>
      </c>
      <c r="U54" s="126">
        <f>SUM(U42:U53)</f>
        <v>-803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2:U56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6.28515625" bestFit="1" customWidth="1"/>
    <col min="2" max="2" width="10.28515625" bestFit="1" customWidth="1"/>
    <col min="3" max="6" width="9.85546875" bestFit="1" customWidth="1"/>
    <col min="7" max="11" width="10.140625" bestFit="1" customWidth="1"/>
    <col min="12" max="21" width="10.7109375" bestFit="1" customWidth="1"/>
  </cols>
  <sheetData>
    <row r="2" spans="1:21" x14ac:dyDescent="0.2">
      <c r="A2" s="24" t="s">
        <v>22</v>
      </c>
      <c r="B2" s="147">
        <v>0.01</v>
      </c>
      <c r="C2" s="94" t="s">
        <v>185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6">
        <v>2012</v>
      </c>
      <c r="K3" s="16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14890</v>
      </c>
      <c r="C5" s="1">
        <v>16990</v>
      </c>
      <c r="D5" s="1">
        <v>17054</v>
      </c>
      <c r="E5" s="1">
        <v>17963</v>
      </c>
      <c r="F5" s="1">
        <v>15193</v>
      </c>
      <c r="G5" s="1">
        <v>15670</v>
      </c>
      <c r="H5" s="1">
        <v>20602</v>
      </c>
      <c r="I5" s="1">
        <v>14814</v>
      </c>
      <c r="J5" s="42">
        <v>15114</v>
      </c>
      <c r="K5" s="42">
        <v>17233</v>
      </c>
      <c r="L5" s="117">
        <v>16224</v>
      </c>
      <c r="M5" s="117">
        <v>17833</v>
      </c>
      <c r="N5" s="117">
        <v>20448</v>
      </c>
      <c r="O5" s="117">
        <v>17774</v>
      </c>
      <c r="P5" s="117">
        <v>17209</v>
      </c>
      <c r="Q5" s="117">
        <v>15045</v>
      </c>
      <c r="R5" s="1">
        <v>19224</v>
      </c>
      <c r="S5" s="1">
        <v>5283</v>
      </c>
      <c r="T5" s="1">
        <v>12704</v>
      </c>
      <c r="U5" s="1">
        <v>15426</v>
      </c>
    </row>
    <row r="6" spans="1:21" x14ac:dyDescent="0.2">
      <c r="A6" s="26" t="s">
        <v>1</v>
      </c>
      <c r="B6" s="1">
        <v>13839</v>
      </c>
      <c r="C6" s="1">
        <v>13189</v>
      </c>
      <c r="D6" s="1">
        <v>28376.05</v>
      </c>
      <c r="E6" s="1">
        <v>17685</v>
      </c>
      <c r="F6" s="1">
        <v>13415</v>
      </c>
      <c r="G6" s="1">
        <v>17124</v>
      </c>
      <c r="H6" s="1">
        <v>13594</v>
      </c>
      <c r="I6" s="1">
        <v>13908</v>
      </c>
      <c r="J6" s="42">
        <v>14461</v>
      </c>
      <c r="K6" s="42">
        <v>13891</v>
      </c>
      <c r="L6" s="117">
        <v>14247</v>
      </c>
      <c r="M6" s="117">
        <v>16629</v>
      </c>
      <c r="N6" s="117">
        <v>16559</v>
      </c>
      <c r="O6" s="117">
        <v>14421</v>
      </c>
      <c r="P6" s="117">
        <v>14197</v>
      </c>
      <c r="Q6" s="117">
        <v>13191</v>
      </c>
      <c r="R6" s="113">
        <v>14840</v>
      </c>
      <c r="S6" s="1">
        <v>6049</v>
      </c>
      <c r="T6" s="1">
        <v>10690</v>
      </c>
      <c r="U6" s="1">
        <v>14492</v>
      </c>
    </row>
    <row r="7" spans="1:21" x14ac:dyDescent="0.2">
      <c r="A7" s="26" t="s">
        <v>2</v>
      </c>
      <c r="B7" s="1">
        <v>13187</v>
      </c>
      <c r="C7" s="1">
        <v>13256</v>
      </c>
      <c r="D7" s="1">
        <v>14527</v>
      </c>
      <c r="E7" s="1">
        <v>13955</v>
      </c>
      <c r="F7" s="1">
        <v>14918</v>
      </c>
      <c r="G7" s="1">
        <v>15258</v>
      </c>
      <c r="H7" s="1">
        <v>14608</v>
      </c>
      <c r="I7" s="1">
        <v>14189</v>
      </c>
      <c r="J7" s="42">
        <v>13943</v>
      </c>
      <c r="K7" s="42">
        <v>13796</v>
      </c>
      <c r="L7" s="117">
        <v>14161</v>
      </c>
      <c r="M7" s="117">
        <v>14402</v>
      </c>
      <c r="N7" s="117">
        <v>14572</v>
      </c>
      <c r="O7" s="117">
        <v>15016</v>
      </c>
      <c r="P7" s="117">
        <v>13093</v>
      </c>
      <c r="Q7" s="117">
        <v>12607</v>
      </c>
      <c r="R7" s="113">
        <v>12602</v>
      </c>
      <c r="S7" s="1">
        <v>8525</v>
      </c>
      <c r="T7" s="1">
        <v>11585</v>
      </c>
      <c r="U7" s="1">
        <v>13734</v>
      </c>
    </row>
    <row r="8" spans="1:21" x14ac:dyDescent="0.2">
      <c r="A8" s="26" t="s">
        <v>3</v>
      </c>
      <c r="B8" s="1">
        <v>15810</v>
      </c>
      <c r="C8" s="1">
        <v>16829</v>
      </c>
      <c r="D8" s="1">
        <v>17884</v>
      </c>
      <c r="E8" s="1">
        <v>19735</v>
      </c>
      <c r="F8" s="1">
        <v>15686</v>
      </c>
      <c r="G8" s="1">
        <v>16926</v>
      </c>
      <c r="H8" s="1">
        <v>16355</v>
      </c>
      <c r="I8" s="1">
        <v>22650</v>
      </c>
      <c r="J8" s="42">
        <v>16146</v>
      </c>
      <c r="K8" s="42">
        <v>16946</v>
      </c>
      <c r="L8" s="117">
        <v>18603</v>
      </c>
      <c r="M8" s="117">
        <v>17472</v>
      </c>
      <c r="N8" s="117">
        <v>17412</v>
      </c>
      <c r="O8" s="117">
        <v>18404</v>
      </c>
      <c r="P8" s="117">
        <v>17073</v>
      </c>
      <c r="Q8" s="117">
        <v>19853</v>
      </c>
      <c r="R8" s="117">
        <v>7275</v>
      </c>
      <c r="S8" s="1">
        <v>10441</v>
      </c>
      <c r="T8" s="1">
        <v>14702</v>
      </c>
      <c r="U8" s="1">
        <v>19336</v>
      </c>
    </row>
    <row r="9" spans="1:21" x14ac:dyDescent="0.2">
      <c r="A9" s="26" t="s">
        <v>4</v>
      </c>
      <c r="B9" s="1">
        <v>14237</v>
      </c>
      <c r="C9" s="1">
        <v>15704</v>
      </c>
      <c r="D9" s="1">
        <v>14593</v>
      </c>
      <c r="E9" s="1">
        <v>14927</v>
      </c>
      <c r="F9" s="1">
        <v>15313</v>
      </c>
      <c r="G9" s="1">
        <v>13484</v>
      </c>
      <c r="H9" s="1">
        <v>14374</v>
      </c>
      <c r="I9" s="1">
        <v>16564</v>
      </c>
      <c r="J9" s="42">
        <v>14415</v>
      </c>
      <c r="K9" s="42">
        <v>15953</v>
      </c>
      <c r="L9" s="117">
        <v>15165</v>
      </c>
      <c r="M9" s="117">
        <v>15310</v>
      </c>
      <c r="N9" s="117">
        <v>17593</v>
      </c>
      <c r="O9" s="117">
        <v>15308</v>
      </c>
      <c r="P9" s="117">
        <v>14089</v>
      </c>
      <c r="Q9" s="117">
        <v>17124</v>
      </c>
      <c r="R9" s="117">
        <v>625</v>
      </c>
      <c r="S9" s="1">
        <v>10826</v>
      </c>
      <c r="T9" s="1">
        <v>14293</v>
      </c>
      <c r="U9" s="1">
        <v>16197</v>
      </c>
    </row>
    <row r="10" spans="1:21" x14ac:dyDescent="0.2">
      <c r="A10" s="26" t="s">
        <v>5</v>
      </c>
      <c r="B10" s="1">
        <v>13974</v>
      </c>
      <c r="C10" s="1">
        <v>13078</v>
      </c>
      <c r="D10" s="1">
        <v>14092</v>
      </c>
      <c r="E10" s="1">
        <v>13188</v>
      </c>
      <c r="F10" s="1">
        <v>13077</v>
      </c>
      <c r="G10" s="1">
        <v>13653</v>
      </c>
      <c r="H10" s="1">
        <v>12791</v>
      </c>
      <c r="I10" s="1">
        <v>12130</v>
      </c>
      <c r="J10" s="42">
        <v>12757</v>
      </c>
      <c r="K10" s="42">
        <v>14660</v>
      </c>
      <c r="L10" s="117">
        <v>15557</v>
      </c>
      <c r="M10" s="117">
        <v>15384</v>
      </c>
      <c r="N10" s="117">
        <v>14938</v>
      </c>
      <c r="O10" s="117">
        <v>14328</v>
      </c>
      <c r="P10" s="117">
        <v>12513</v>
      </c>
      <c r="Q10" s="117">
        <v>18278</v>
      </c>
      <c r="R10" s="113">
        <v>753</v>
      </c>
      <c r="S10" s="1">
        <v>11663</v>
      </c>
      <c r="T10" s="1">
        <v>12682</v>
      </c>
      <c r="U10" s="1">
        <v>17211</v>
      </c>
    </row>
    <row r="11" spans="1:21" x14ac:dyDescent="0.2">
      <c r="A11" s="26" t="s">
        <v>6</v>
      </c>
      <c r="B11" s="1">
        <v>10688</v>
      </c>
      <c r="C11" s="1">
        <v>11040</v>
      </c>
      <c r="D11" s="1">
        <v>12310</v>
      </c>
      <c r="E11" s="1">
        <v>11443</v>
      </c>
      <c r="F11" s="1">
        <v>9598</v>
      </c>
      <c r="G11" s="2">
        <v>10192</v>
      </c>
      <c r="H11" s="1">
        <v>10674</v>
      </c>
      <c r="I11" s="1">
        <v>10612</v>
      </c>
      <c r="J11" s="42">
        <v>12585</v>
      </c>
      <c r="K11" s="42">
        <v>13264</v>
      </c>
      <c r="L11" s="117">
        <v>12185</v>
      </c>
      <c r="M11" s="117">
        <v>14348</v>
      </c>
      <c r="N11" s="117">
        <v>14466</v>
      </c>
      <c r="O11" s="117">
        <v>13522</v>
      </c>
      <c r="P11" s="117">
        <v>13120</v>
      </c>
      <c r="Q11" s="117">
        <v>17202</v>
      </c>
      <c r="R11" s="1">
        <v>7171</v>
      </c>
      <c r="S11" s="1">
        <v>11799</v>
      </c>
      <c r="T11" s="1">
        <v>13827</v>
      </c>
      <c r="U11" s="1">
        <v>16694</v>
      </c>
    </row>
    <row r="12" spans="1:21" x14ac:dyDescent="0.2">
      <c r="A12" s="26" t="s">
        <v>7</v>
      </c>
      <c r="B12" s="1">
        <v>16485</v>
      </c>
      <c r="C12" s="1">
        <v>14397</v>
      </c>
      <c r="D12" s="1">
        <v>13722</v>
      </c>
      <c r="E12" s="1">
        <v>13937</v>
      </c>
      <c r="F12" s="1">
        <v>12664</v>
      </c>
      <c r="G12" s="2">
        <v>14919</v>
      </c>
      <c r="H12" s="1">
        <v>14938</v>
      </c>
      <c r="I12" s="1">
        <v>11690</v>
      </c>
      <c r="J12" s="42">
        <v>13075</v>
      </c>
      <c r="K12" s="42">
        <v>13507</v>
      </c>
      <c r="L12" s="117">
        <v>14787</v>
      </c>
      <c r="M12" s="117">
        <v>13596</v>
      </c>
      <c r="N12" s="117">
        <v>14374</v>
      </c>
      <c r="O12" s="117">
        <v>12463</v>
      </c>
      <c r="P12" s="117">
        <v>11892</v>
      </c>
      <c r="Q12" s="117">
        <v>16242</v>
      </c>
      <c r="R12" s="1">
        <v>8288</v>
      </c>
      <c r="S12" s="1">
        <v>11707</v>
      </c>
      <c r="T12" s="1">
        <v>15456</v>
      </c>
      <c r="U12" s="1">
        <v>12954</v>
      </c>
    </row>
    <row r="13" spans="1:21" x14ac:dyDescent="0.2">
      <c r="A13" s="26" t="s">
        <v>8</v>
      </c>
      <c r="B13" s="1">
        <v>12519</v>
      </c>
      <c r="C13" s="1">
        <v>12867</v>
      </c>
      <c r="D13" s="1">
        <v>14461</v>
      </c>
      <c r="E13" s="1">
        <v>13896</v>
      </c>
      <c r="F13" s="1">
        <v>12328</v>
      </c>
      <c r="G13" s="2">
        <v>12657</v>
      </c>
      <c r="H13" s="1">
        <v>14209</v>
      </c>
      <c r="I13" s="1">
        <v>12782</v>
      </c>
      <c r="J13" s="42">
        <v>13931</v>
      </c>
      <c r="K13" s="42">
        <v>14958</v>
      </c>
      <c r="L13" s="117">
        <v>15349</v>
      </c>
      <c r="M13" s="117">
        <v>15120</v>
      </c>
      <c r="N13" s="117">
        <v>15016</v>
      </c>
      <c r="O13" s="117">
        <v>13460</v>
      </c>
      <c r="P13" s="117">
        <v>13013</v>
      </c>
      <c r="Q13" s="117">
        <v>17837</v>
      </c>
      <c r="R13" s="2">
        <v>9234</v>
      </c>
      <c r="S13" s="1">
        <v>12174</v>
      </c>
      <c r="T13" s="1">
        <v>12930</v>
      </c>
      <c r="U13" s="1">
        <v>13820</v>
      </c>
    </row>
    <row r="14" spans="1:21" x14ac:dyDescent="0.2">
      <c r="A14" s="26" t="s">
        <v>9</v>
      </c>
      <c r="B14" s="1">
        <v>15034</v>
      </c>
      <c r="C14" s="1">
        <v>15521</v>
      </c>
      <c r="D14" s="1">
        <v>15368</v>
      </c>
      <c r="E14" s="1">
        <v>18005</v>
      </c>
      <c r="F14" s="1">
        <v>13695</v>
      </c>
      <c r="G14" s="2">
        <v>14053</v>
      </c>
      <c r="H14" s="1">
        <v>16075</v>
      </c>
      <c r="I14" s="1">
        <v>13466</v>
      </c>
      <c r="J14" s="42">
        <v>14774</v>
      </c>
      <c r="K14" s="42">
        <v>15422</v>
      </c>
      <c r="L14" s="117">
        <v>15350</v>
      </c>
      <c r="M14" s="117">
        <v>14978</v>
      </c>
      <c r="N14" s="117">
        <v>16274</v>
      </c>
      <c r="O14" s="117">
        <v>15336</v>
      </c>
      <c r="P14" s="117">
        <v>14170</v>
      </c>
      <c r="Q14" s="117">
        <v>17438</v>
      </c>
      <c r="R14" s="1">
        <v>9207</v>
      </c>
      <c r="S14" s="1">
        <v>12141</v>
      </c>
      <c r="T14" s="1">
        <v>14892</v>
      </c>
      <c r="U14" s="1">
        <v>15620</v>
      </c>
    </row>
    <row r="15" spans="1:21" x14ac:dyDescent="0.2">
      <c r="A15" s="26" t="s">
        <v>10</v>
      </c>
      <c r="B15" s="1">
        <v>15766</v>
      </c>
      <c r="C15" s="1">
        <v>15623</v>
      </c>
      <c r="D15" s="1">
        <v>15884</v>
      </c>
      <c r="E15" s="1">
        <v>15511</v>
      </c>
      <c r="F15" s="1"/>
      <c r="G15" s="2">
        <v>15125</v>
      </c>
      <c r="H15" s="1">
        <v>14860</v>
      </c>
      <c r="I15" s="1">
        <v>15124</v>
      </c>
      <c r="J15" s="42">
        <v>17064</v>
      </c>
      <c r="K15" s="42">
        <v>16002</v>
      </c>
      <c r="L15" s="117">
        <v>16713</v>
      </c>
      <c r="M15" s="117">
        <v>17020</v>
      </c>
      <c r="N15" s="117">
        <v>16780</v>
      </c>
      <c r="O15" s="117">
        <v>14525</v>
      </c>
      <c r="P15" s="117">
        <v>14169</v>
      </c>
      <c r="Q15" s="117">
        <v>14336</v>
      </c>
      <c r="R15" s="1">
        <v>9853</v>
      </c>
      <c r="S15" s="1">
        <v>13577</v>
      </c>
      <c r="T15" s="1">
        <v>15330</v>
      </c>
      <c r="U15" s="1">
        <v>17214</v>
      </c>
    </row>
    <row r="16" spans="1:21" x14ac:dyDescent="0.2">
      <c r="A16" s="26" t="s">
        <v>11</v>
      </c>
      <c r="B16" s="39">
        <v>10892.61</v>
      </c>
      <c r="C16" s="39">
        <v>13029</v>
      </c>
      <c r="D16" s="39">
        <v>13842</v>
      </c>
      <c r="E16" s="39">
        <v>12925</v>
      </c>
      <c r="F16" s="39">
        <v>26294</v>
      </c>
      <c r="G16" s="40">
        <v>13016</v>
      </c>
      <c r="H16" s="39">
        <v>12977</v>
      </c>
      <c r="I16" s="39">
        <v>12234</v>
      </c>
      <c r="J16" s="48">
        <v>13552</v>
      </c>
      <c r="K16" s="48">
        <v>15030</v>
      </c>
      <c r="L16" s="95">
        <v>14565</v>
      </c>
      <c r="M16" s="95">
        <v>14572</v>
      </c>
      <c r="N16" s="95">
        <v>13954</v>
      </c>
      <c r="O16" s="95">
        <v>13948</v>
      </c>
      <c r="P16" s="95">
        <v>12596</v>
      </c>
      <c r="Q16" s="95">
        <v>13257</v>
      </c>
      <c r="R16" s="1">
        <v>4720</v>
      </c>
      <c r="S16" s="1">
        <v>11745</v>
      </c>
      <c r="T16" s="1">
        <v>11765</v>
      </c>
      <c r="U16" s="1">
        <v>14352</v>
      </c>
    </row>
    <row r="17" spans="1:21" x14ac:dyDescent="0.2">
      <c r="A17" s="25"/>
      <c r="B17" s="64">
        <f t="shared" ref="B17:H17" si="0">SUM(B5:B16)</f>
        <v>167321.60999999999</v>
      </c>
      <c r="C17" s="46">
        <f t="shared" si="0"/>
        <v>171523</v>
      </c>
      <c r="D17" s="46">
        <f t="shared" si="0"/>
        <v>192113.05</v>
      </c>
      <c r="E17" s="46">
        <f t="shared" si="0"/>
        <v>183170</v>
      </c>
      <c r="F17" s="46">
        <f t="shared" si="0"/>
        <v>162181</v>
      </c>
      <c r="G17" s="46">
        <f t="shared" si="0"/>
        <v>172077</v>
      </c>
      <c r="H17" s="46">
        <f t="shared" si="0"/>
        <v>176057</v>
      </c>
      <c r="I17" s="46">
        <f t="shared" ref="I17:N17" si="1">SUM(I5:I16)</f>
        <v>170163</v>
      </c>
      <c r="J17" s="64">
        <f t="shared" si="1"/>
        <v>171817</v>
      </c>
      <c r="K17" s="64">
        <f t="shared" si="1"/>
        <v>180662</v>
      </c>
      <c r="L17" s="96">
        <f t="shared" si="1"/>
        <v>182906</v>
      </c>
      <c r="M17" s="96">
        <f t="shared" si="1"/>
        <v>186664</v>
      </c>
      <c r="N17" s="96">
        <f t="shared" si="1"/>
        <v>192386</v>
      </c>
      <c r="O17" s="96">
        <f t="shared" ref="O17:P17" si="2">SUM(O5:O16)</f>
        <v>178505</v>
      </c>
      <c r="P17" s="96">
        <f t="shared" si="2"/>
        <v>167134</v>
      </c>
      <c r="Q17" s="96">
        <f t="shared" ref="Q17:S17" si="3">SUM(Q5:Q16)</f>
        <v>192410</v>
      </c>
      <c r="R17" s="126">
        <f t="shared" ref="R17" si="4">SUM(R5:R16)</f>
        <v>103792</v>
      </c>
      <c r="S17" s="126">
        <f t="shared" si="3"/>
        <v>125930</v>
      </c>
      <c r="T17" s="126">
        <f t="shared" ref="T17:U17" si="5">SUM(T5:T16)</f>
        <v>160856</v>
      </c>
      <c r="U17" s="126">
        <f t="shared" si="5"/>
        <v>187050</v>
      </c>
    </row>
    <row r="18" spans="1:21" x14ac:dyDescent="0.2">
      <c r="B18" s="2"/>
      <c r="L18" s="94"/>
    </row>
    <row r="19" spans="1:21" x14ac:dyDescent="0.2">
      <c r="B19" s="2"/>
      <c r="L19" s="94"/>
    </row>
    <row r="20" spans="1:21" x14ac:dyDescent="0.2">
      <c r="B20" s="2"/>
      <c r="L20" s="94"/>
    </row>
    <row r="21" spans="1:21" x14ac:dyDescent="0.2">
      <c r="A21" s="24" t="s">
        <v>23</v>
      </c>
      <c r="B21" s="147">
        <v>0.01</v>
      </c>
      <c r="C21" s="94" t="s">
        <v>185</v>
      </c>
      <c r="L21" s="94"/>
    </row>
    <row r="22" spans="1:21" x14ac:dyDescent="0.2">
      <c r="A22" s="25"/>
      <c r="B22" s="18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6">
        <v>2012</v>
      </c>
      <c r="K22" s="16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B23" s="2"/>
    </row>
    <row r="24" spans="1:21" x14ac:dyDescent="0.2">
      <c r="A24" s="26" t="s">
        <v>0</v>
      </c>
      <c r="B24" s="1">
        <v>88110</v>
      </c>
      <c r="C24" s="1">
        <v>96636</v>
      </c>
      <c r="D24" s="1">
        <v>95664</v>
      </c>
      <c r="E24" s="1">
        <v>99292</v>
      </c>
      <c r="F24" s="1">
        <v>94090</v>
      </c>
      <c r="G24" s="1">
        <v>90769</v>
      </c>
      <c r="H24" s="1">
        <v>106753</v>
      </c>
      <c r="I24" s="1">
        <v>88749</v>
      </c>
      <c r="J24" s="42">
        <v>97063</v>
      </c>
      <c r="K24" s="42">
        <v>101064</v>
      </c>
      <c r="L24" s="117">
        <v>95940</v>
      </c>
      <c r="M24" s="117">
        <v>106395</v>
      </c>
      <c r="N24" s="117">
        <v>109806</v>
      </c>
      <c r="O24" s="117">
        <v>107856</v>
      </c>
      <c r="P24" s="117">
        <v>117169</v>
      </c>
      <c r="Q24" s="117">
        <v>114047</v>
      </c>
      <c r="R24" s="1">
        <v>124060</v>
      </c>
      <c r="S24" s="1">
        <v>87058</v>
      </c>
      <c r="T24" s="1">
        <v>109844</v>
      </c>
      <c r="U24" s="1">
        <v>122763</v>
      </c>
    </row>
    <row r="25" spans="1:21" x14ac:dyDescent="0.2">
      <c r="A25" s="26" t="s">
        <v>1</v>
      </c>
      <c r="B25" s="1">
        <v>79691</v>
      </c>
      <c r="C25" s="1">
        <v>77456</v>
      </c>
      <c r="D25" s="1">
        <v>87233.42</v>
      </c>
      <c r="E25" s="1">
        <v>87884</v>
      </c>
      <c r="F25" s="1">
        <v>81800</v>
      </c>
      <c r="G25" s="1">
        <v>108390</v>
      </c>
      <c r="H25" s="1">
        <v>80850</v>
      </c>
      <c r="I25" s="1">
        <v>82908</v>
      </c>
      <c r="J25" s="42">
        <v>82242</v>
      </c>
      <c r="K25" s="42">
        <v>88334</v>
      </c>
      <c r="L25" s="117">
        <v>86733</v>
      </c>
      <c r="M25" s="117">
        <v>107019</v>
      </c>
      <c r="N25" s="117">
        <v>108575</v>
      </c>
      <c r="O25" s="117">
        <v>112379</v>
      </c>
      <c r="P25" s="117">
        <v>104171</v>
      </c>
      <c r="Q25" s="117">
        <v>107451</v>
      </c>
      <c r="R25" s="113">
        <v>112705</v>
      </c>
      <c r="S25" s="1">
        <v>92391</v>
      </c>
      <c r="T25" s="1">
        <v>108534</v>
      </c>
      <c r="U25" s="1">
        <v>123669</v>
      </c>
    </row>
    <row r="26" spans="1:21" x14ac:dyDescent="0.2">
      <c r="A26" s="26" t="s">
        <v>2</v>
      </c>
      <c r="B26" s="1">
        <v>77448</v>
      </c>
      <c r="C26" s="1">
        <v>83267.05</v>
      </c>
      <c r="D26" s="1">
        <v>82541</v>
      </c>
      <c r="E26" s="1">
        <v>87558.93</v>
      </c>
      <c r="F26" s="1">
        <v>91300</v>
      </c>
      <c r="G26" s="1">
        <v>90722</v>
      </c>
      <c r="H26" s="1">
        <v>83583</v>
      </c>
      <c r="I26" s="1">
        <v>82663</v>
      </c>
      <c r="J26" s="42">
        <v>90036</v>
      </c>
      <c r="K26" s="42">
        <v>86881</v>
      </c>
      <c r="L26" s="117">
        <v>89797</v>
      </c>
      <c r="M26" s="117">
        <v>100017</v>
      </c>
      <c r="N26" s="117">
        <v>100348</v>
      </c>
      <c r="O26" s="117">
        <v>109195</v>
      </c>
      <c r="P26" s="117">
        <v>105295</v>
      </c>
      <c r="Q26" s="117">
        <v>105749</v>
      </c>
      <c r="R26" s="113">
        <v>118054</v>
      </c>
      <c r="S26" s="1">
        <v>88527</v>
      </c>
      <c r="T26" s="1">
        <v>99771</v>
      </c>
      <c r="U26" s="1">
        <v>123432</v>
      </c>
    </row>
    <row r="27" spans="1:21" x14ac:dyDescent="0.2">
      <c r="A27" s="26" t="s">
        <v>3</v>
      </c>
      <c r="B27" s="1">
        <v>91369</v>
      </c>
      <c r="C27" s="1">
        <v>91448</v>
      </c>
      <c r="D27" s="1">
        <v>96231</v>
      </c>
      <c r="E27" s="1">
        <v>102107</v>
      </c>
      <c r="F27" s="1">
        <v>92286</v>
      </c>
      <c r="G27" s="1">
        <v>97056</v>
      </c>
      <c r="H27" s="1">
        <v>94595</v>
      </c>
      <c r="I27" s="1">
        <v>94485</v>
      </c>
      <c r="J27" s="42">
        <v>101339</v>
      </c>
      <c r="K27" s="42">
        <v>102180</v>
      </c>
      <c r="L27" s="117">
        <v>105761</v>
      </c>
      <c r="M27" s="117">
        <v>111792</v>
      </c>
      <c r="N27" s="117">
        <v>108762</v>
      </c>
      <c r="O27" s="117">
        <v>115940</v>
      </c>
      <c r="P27" s="117">
        <v>121641</v>
      </c>
      <c r="Q27" s="117">
        <v>125209</v>
      </c>
      <c r="R27" s="117">
        <v>89623</v>
      </c>
      <c r="S27" s="1">
        <v>111506</v>
      </c>
      <c r="T27" s="1">
        <v>117153</v>
      </c>
      <c r="U27" s="1">
        <v>134855</v>
      </c>
    </row>
    <row r="28" spans="1:21" x14ac:dyDescent="0.2">
      <c r="A28" s="26" t="s">
        <v>4</v>
      </c>
      <c r="B28" s="1">
        <v>83612.69</v>
      </c>
      <c r="C28" s="1">
        <v>91769</v>
      </c>
      <c r="D28" s="1">
        <v>86416</v>
      </c>
      <c r="E28" s="1">
        <v>92419</v>
      </c>
      <c r="F28" s="1">
        <v>92080</v>
      </c>
      <c r="G28" s="1">
        <v>132016</v>
      </c>
      <c r="H28" s="1">
        <v>93737</v>
      </c>
      <c r="I28" s="1">
        <v>95821</v>
      </c>
      <c r="J28" s="42">
        <v>95283</v>
      </c>
      <c r="K28" s="42">
        <v>97462</v>
      </c>
      <c r="L28" s="117">
        <v>99536</v>
      </c>
      <c r="M28" s="117">
        <v>107136</v>
      </c>
      <c r="N28" s="117">
        <v>117454</v>
      </c>
      <c r="O28" s="117">
        <v>110005</v>
      </c>
      <c r="P28" s="117">
        <v>128126</v>
      </c>
      <c r="Q28" s="117">
        <v>127635</v>
      </c>
      <c r="R28" s="117">
        <v>70075</v>
      </c>
      <c r="S28" s="1">
        <v>108355</v>
      </c>
      <c r="T28" s="1">
        <v>108566</v>
      </c>
      <c r="U28" s="1">
        <v>130481</v>
      </c>
    </row>
    <row r="29" spans="1:21" x14ac:dyDescent="0.2">
      <c r="A29" s="26" t="s">
        <v>5</v>
      </c>
      <c r="B29" s="1">
        <v>83394</v>
      </c>
      <c r="C29" s="1">
        <v>89203</v>
      </c>
      <c r="D29" s="1">
        <v>90620</v>
      </c>
      <c r="E29" s="1">
        <v>91224</v>
      </c>
      <c r="F29" s="1">
        <v>94915</v>
      </c>
      <c r="G29" s="1">
        <v>91401</v>
      </c>
      <c r="H29" s="1">
        <v>89274</v>
      </c>
      <c r="I29" s="1">
        <v>88421</v>
      </c>
      <c r="J29" s="42">
        <v>91563</v>
      </c>
      <c r="K29" s="42">
        <v>98837</v>
      </c>
      <c r="L29" s="117">
        <v>100030</v>
      </c>
      <c r="M29" s="117">
        <v>108624</v>
      </c>
      <c r="N29" s="117">
        <v>109491</v>
      </c>
      <c r="O29" s="117">
        <v>107283</v>
      </c>
      <c r="P29" s="117">
        <v>114781</v>
      </c>
      <c r="Q29" s="117">
        <v>122750</v>
      </c>
      <c r="R29" s="113">
        <v>83558</v>
      </c>
      <c r="S29" s="1">
        <v>115602</v>
      </c>
      <c r="T29" s="1">
        <v>148225</v>
      </c>
      <c r="U29" s="1">
        <v>132736</v>
      </c>
    </row>
    <row r="30" spans="1:21" x14ac:dyDescent="0.2">
      <c r="A30" s="26" t="s">
        <v>6</v>
      </c>
      <c r="B30" s="1">
        <v>61739</v>
      </c>
      <c r="C30" s="1">
        <v>72756</v>
      </c>
      <c r="D30" s="1">
        <v>74967</v>
      </c>
      <c r="E30" s="1">
        <v>79172</v>
      </c>
      <c r="F30" s="1">
        <v>69340</v>
      </c>
      <c r="G30" s="2">
        <v>74207</v>
      </c>
      <c r="H30" s="1">
        <v>76465</v>
      </c>
      <c r="I30" s="1">
        <v>72690</v>
      </c>
      <c r="J30" s="42">
        <v>74148</v>
      </c>
      <c r="K30" s="42">
        <v>79975</v>
      </c>
      <c r="L30" s="117">
        <v>80630</v>
      </c>
      <c r="M30" s="117">
        <v>89586</v>
      </c>
      <c r="N30" s="117">
        <v>96580</v>
      </c>
      <c r="O30" s="117">
        <v>93394</v>
      </c>
      <c r="P30" s="117">
        <v>107427</v>
      </c>
      <c r="Q30" s="117">
        <v>104781</v>
      </c>
      <c r="R30" s="1">
        <v>79063</v>
      </c>
      <c r="S30" s="1">
        <v>108987</v>
      </c>
      <c r="T30" s="1">
        <v>120902</v>
      </c>
      <c r="U30" s="1">
        <v>142301</v>
      </c>
    </row>
    <row r="31" spans="1:21" x14ac:dyDescent="0.2">
      <c r="A31" s="26" t="s">
        <v>7</v>
      </c>
      <c r="B31" s="1">
        <v>122708</v>
      </c>
      <c r="C31" s="1">
        <v>104869</v>
      </c>
      <c r="D31" s="1">
        <v>102518</v>
      </c>
      <c r="E31" s="1">
        <v>106167</v>
      </c>
      <c r="F31" s="1">
        <v>99896</v>
      </c>
      <c r="G31" s="2">
        <v>96546</v>
      </c>
      <c r="H31" s="1">
        <v>101713</v>
      </c>
      <c r="I31" s="1">
        <v>101033</v>
      </c>
      <c r="J31" s="42">
        <v>114420</v>
      </c>
      <c r="K31" s="42">
        <v>107387</v>
      </c>
      <c r="L31" s="117">
        <v>121440</v>
      </c>
      <c r="M31" s="117">
        <v>117940</v>
      </c>
      <c r="N31" s="117">
        <v>117739</v>
      </c>
      <c r="O31" s="117">
        <v>137926</v>
      </c>
      <c r="P31" s="117">
        <v>127010</v>
      </c>
      <c r="Q31" s="117">
        <v>132585</v>
      </c>
      <c r="R31" s="1">
        <v>121392</v>
      </c>
      <c r="S31" s="1">
        <v>131603</v>
      </c>
      <c r="T31" s="1">
        <v>116547</v>
      </c>
      <c r="U31" s="1">
        <v>127737</v>
      </c>
    </row>
    <row r="32" spans="1:21" x14ac:dyDescent="0.2">
      <c r="A32" s="26" t="s">
        <v>8</v>
      </c>
      <c r="B32" s="1">
        <v>89007</v>
      </c>
      <c r="C32" s="1">
        <v>90062</v>
      </c>
      <c r="D32" s="1">
        <v>91219</v>
      </c>
      <c r="E32" s="1">
        <v>95604</v>
      </c>
      <c r="F32" s="1">
        <v>95054</v>
      </c>
      <c r="G32" s="2">
        <v>90740</v>
      </c>
      <c r="H32" s="1">
        <v>90104</v>
      </c>
      <c r="I32" s="1">
        <v>97435</v>
      </c>
      <c r="J32" s="42">
        <v>100657</v>
      </c>
      <c r="K32" s="42">
        <v>100679</v>
      </c>
      <c r="L32" s="117">
        <v>106349</v>
      </c>
      <c r="M32" s="117">
        <v>110781</v>
      </c>
      <c r="N32" s="117">
        <v>110567</v>
      </c>
      <c r="O32" s="117">
        <v>118089</v>
      </c>
      <c r="P32" s="117">
        <v>124735</v>
      </c>
      <c r="Q32" s="117">
        <v>123557</v>
      </c>
      <c r="R32" s="2">
        <v>105517</v>
      </c>
      <c r="S32" s="1">
        <v>119209</v>
      </c>
      <c r="T32" s="1">
        <v>125515</v>
      </c>
      <c r="U32" s="1">
        <v>131049</v>
      </c>
    </row>
    <row r="33" spans="1:21" x14ac:dyDescent="0.2">
      <c r="A33" s="26" t="s">
        <v>9</v>
      </c>
      <c r="B33" s="1">
        <v>90209</v>
      </c>
      <c r="C33" s="1">
        <v>93580.97</v>
      </c>
      <c r="D33" s="1">
        <v>94024</v>
      </c>
      <c r="E33" s="1">
        <v>98868.41</v>
      </c>
      <c r="F33" s="1">
        <v>96735</v>
      </c>
      <c r="G33" s="2">
        <v>88762</v>
      </c>
      <c r="H33" s="1">
        <v>91568</v>
      </c>
      <c r="I33" s="1">
        <v>101373</v>
      </c>
      <c r="J33" s="42">
        <v>101639</v>
      </c>
      <c r="K33" s="42">
        <v>98788</v>
      </c>
      <c r="L33" s="117">
        <v>104694</v>
      </c>
      <c r="M33" s="117">
        <v>107329</v>
      </c>
      <c r="N33" s="117">
        <v>111846</v>
      </c>
      <c r="O33" s="117">
        <v>115399</v>
      </c>
      <c r="P33" s="117">
        <v>118580</v>
      </c>
      <c r="Q33" s="117">
        <v>117632</v>
      </c>
      <c r="R33" s="1">
        <v>105321</v>
      </c>
      <c r="S33" s="1">
        <v>116662</v>
      </c>
      <c r="T33" s="1">
        <v>125314</v>
      </c>
      <c r="U33" s="1">
        <v>131044</v>
      </c>
    </row>
    <row r="34" spans="1:21" x14ac:dyDescent="0.2">
      <c r="A34" s="26" t="s">
        <v>10</v>
      </c>
      <c r="B34" s="1">
        <v>88458</v>
      </c>
      <c r="C34" s="1">
        <v>90186</v>
      </c>
      <c r="D34" s="1">
        <v>89088</v>
      </c>
      <c r="E34" s="1">
        <v>93360</v>
      </c>
      <c r="F34" s="1"/>
      <c r="G34" s="2">
        <v>89766</v>
      </c>
      <c r="H34" s="1">
        <v>91501</v>
      </c>
      <c r="I34" s="1">
        <v>92679</v>
      </c>
      <c r="J34" s="42">
        <v>97150</v>
      </c>
      <c r="K34" s="42">
        <v>100091</v>
      </c>
      <c r="L34" s="117">
        <v>106005</v>
      </c>
      <c r="M34" s="117">
        <v>110379</v>
      </c>
      <c r="N34" s="117">
        <v>112264</v>
      </c>
      <c r="O34" s="117">
        <v>119569</v>
      </c>
      <c r="P34" s="117">
        <v>126185</v>
      </c>
      <c r="Q34" s="117">
        <v>126018</v>
      </c>
      <c r="R34" s="1">
        <v>104808</v>
      </c>
      <c r="S34" s="1">
        <v>116839</v>
      </c>
      <c r="T34" s="1">
        <v>131524</v>
      </c>
      <c r="U34" s="1">
        <v>134021</v>
      </c>
    </row>
    <row r="35" spans="1:21" x14ac:dyDescent="0.2">
      <c r="A35" s="26" t="s">
        <v>11</v>
      </c>
      <c r="B35" s="39">
        <v>76348.800000000003</v>
      </c>
      <c r="C35" s="39">
        <v>81771</v>
      </c>
      <c r="D35" s="39">
        <v>83199</v>
      </c>
      <c r="E35" s="39">
        <v>85915.7</v>
      </c>
      <c r="F35" s="39">
        <v>150407</v>
      </c>
      <c r="G35" s="40">
        <v>81526</v>
      </c>
      <c r="H35" s="40">
        <v>80916</v>
      </c>
      <c r="I35" s="40">
        <v>82488</v>
      </c>
      <c r="J35" s="48">
        <v>89910</v>
      </c>
      <c r="K35" s="48">
        <v>92661</v>
      </c>
      <c r="L35" s="95">
        <v>94061</v>
      </c>
      <c r="M35" s="95">
        <v>94711</v>
      </c>
      <c r="N35" s="95">
        <v>92630</v>
      </c>
      <c r="O35" s="95">
        <v>104986</v>
      </c>
      <c r="P35" s="95">
        <v>111451</v>
      </c>
      <c r="Q35" s="95">
        <v>111279</v>
      </c>
      <c r="R35" s="1">
        <v>83640</v>
      </c>
      <c r="S35" s="1">
        <v>103726</v>
      </c>
      <c r="T35" s="1">
        <v>120099</v>
      </c>
      <c r="U35" s="1">
        <v>123173</v>
      </c>
    </row>
    <row r="36" spans="1:21" x14ac:dyDescent="0.2">
      <c r="A36" s="25"/>
      <c r="B36" s="64">
        <f t="shared" ref="B36:H36" si="6">SUM(B24:B35)</f>
        <v>1032094.49</v>
      </c>
      <c r="C36" s="64">
        <f t="shared" si="6"/>
        <v>1063004.02</v>
      </c>
      <c r="D36" s="64">
        <f t="shared" si="6"/>
        <v>1073720.42</v>
      </c>
      <c r="E36" s="64">
        <f t="shared" si="6"/>
        <v>1119572.04</v>
      </c>
      <c r="F36" s="64">
        <f t="shared" si="6"/>
        <v>1057903</v>
      </c>
      <c r="G36" s="64">
        <f t="shared" si="6"/>
        <v>1131901</v>
      </c>
      <c r="H36" s="64">
        <f t="shared" si="6"/>
        <v>1081059</v>
      </c>
      <c r="I36" s="64">
        <f t="shared" ref="I36:O36" si="7">SUM(I24:I35)</f>
        <v>1080745</v>
      </c>
      <c r="J36" s="64">
        <f t="shared" si="7"/>
        <v>1135450</v>
      </c>
      <c r="K36" s="64">
        <f t="shared" si="7"/>
        <v>1154339</v>
      </c>
      <c r="L36" s="96">
        <f t="shared" si="7"/>
        <v>1190976</v>
      </c>
      <c r="M36" s="96">
        <f t="shared" si="7"/>
        <v>1271709</v>
      </c>
      <c r="N36" s="96">
        <f t="shared" si="7"/>
        <v>1296062</v>
      </c>
      <c r="O36" s="96">
        <f t="shared" si="7"/>
        <v>1352021</v>
      </c>
      <c r="P36" s="96">
        <f t="shared" ref="P36:Q36" si="8">SUM(P24:P35)</f>
        <v>1406571</v>
      </c>
      <c r="Q36" s="96">
        <f t="shared" si="8"/>
        <v>1418693</v>
      </c>
      <c r="R36" s="126">
        <f t="shared" ref="R36:S36" si="9">SUM(R24:R35)</f>
        <v>1197816</v>
      </c>
      <c r="S36" s="126">
        <f t="shared" si="9"/>
        <v>1300465</v>
      </c>
      <c r="T36" s="126">
        <f t="shared" ref="T36:U36" si="10">SUM(T24:T35)</f>
        <v>1431994</v>
      </c>
      <c r="U36" s="126">
        <f t="shared" si="10"/>
        <v>1557261</v>
      </c>
    </row>
    <row r="37" spans="1:21" x14ac:dyDescent="0.2">
      <c r="B37" s="2"/>
      <c r="L37" s="94"/>
    </row>
    <row r="38" spans="1:21" x14ac:dyDescent="0.2">
      <c r="B38" s="2"/>
    </row>
    <row r="39" spans="1:21" x14ac:dyDescent="0.2">
      <c r="A39" s="25"/>
      <c r="G39" s="2"/>
      <c r="L39" s="94"/>
    </row>
    <row r="56" spans="1:14" x14ac:dyDescent="0.2">
      <c r="A56" s="25"/>
      <c r="B56" s="31"/>
      <c r="C56" s="31"/>
      <c r="D56" s="31"/>
      <c r="E56" s="31"/>
      <c r="F56" s="31"/>
      <c r="G56" s="88"/>
      <c r="H56" s="88"/>
      <c r="I56" s="88"/>
      <c r="J56" s="88"/>
      <c r="K56" s="88"/>
      <c r="L56" s="88"/>
      <c r="M56" s="88"/>
      <c r="N56" s="88"/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277</v>
      </c>
    </row>
    <row r="2" spans="1:21" x14ac:dyDescent="0.2">
      <c r="A2" s="24" t="s">
        <v>84</v>
      </c>
      <c r="B2" s="6">
        <v>5.0000000000000001E-3</v>
      </c>
      <c r="D2" s="94" t="s">
        <v>276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>
        <v>0</v>
      </c>
      <c r="P5" s="117">
        <v>85144</v>
      </c>
      <c r="Q5" s="117">
        <v>101480</v>
      </c>
      <c r="R5" s="1">
        <v>125788</v>
      </c>
      <c r="S5" s="1">
        <v>138128</v>
      </c>
      <c r="T5" s="1">
        <v>151253</v>
      </c>
      <c r="U5" s="1">
        <v>156611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>
        <v>64242</v>
      </c>
      <c r="P6" s="117">
        <v>81297</v>
      </c>
      <c r="Q6" s="117">
        <v>95384</v>
      </c>
      <c r="R6" s="1">
        <v>104831</v>
      </c>
      <c r="S6" s="1">
        <v>128612</v>
      </c>
      <c r="T6" s="1">
        <v>131114</v>
      </c>
      <c r="U6" s="1">
        <v>133737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>
        <v>64691</v>
      </c>
      <c r="P7" s="117">
        <v>68392</v>
      </c>
      <c r="Q7" s="117">
        <v>84457</v>
      </c>
      <c r="R7" s="1">
        <v>100190</v>
      </c>
      <c r="S7" s="1">
        <v>137572</v>
      </c>
      <c r="T7" s="1">
        <v>121553</v>
      </c>
      <c r="U7" s="1">
        <v>120359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>
        <v>75415</v>
      </c>
      <c r="P8" s="117">
        <v>79678</v>
      </c>
      <c r="Q8" s="117">
        <v>102499</v>
      </c>
      <c r="R8" s="1">
        <v>105542</v>
      </c>
      <c r="S8" s="1">
        <v>143165</v>
      </c>
      <c r="T8" s="1">
        <v>143421</v>
      </c>
      <c r="U8" s="1">
        <v>137956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>
        <v>71437</v>
      </c>
      <c r="P9" s="117">
        <v>76045</v>
      </c>
      <c r="Q9" s="117">
        <v>98368</v>
      </c>
      <c r="R9" s="1">
        <v>111043</v>
      </c>
      <c r="S9" s="1">
        <v>150265</v>
      </c>
      <c r="T9" s="1">
        <v>137820</v>
      </c>
      <c r="U9" s="1">
        <v>139935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>
        <v>92305</v>
      </c>
      <c r="P10" s="117">
        <v>102239</v>
      </c>
      <c r="Q10" s="117">
        <v>123690</v>
      </c>
      <c r="R10" s="1">
        <v>149444</v>
      </c>
      <c r="S10" s="1">
        <v>158336</v>
      </c>
      <c r="T10" s="1">
        <v>171353</v>
      </c>
      <c r="U10" s="1">
        <v>176243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85352</v>
      </c>
      <c r="P11" s="117">
        <v>99021</v>
      </c>
      <c r="Q11" s="117">
        <v>120421</v>
      </c>
      <c r="R11" s="1">
        <v>131333</v>
      </c>
      <c r="S11" s="1">
        <v>153723</v>
      </c>
      <c r="T11" s="1">
        <v>213309</v>
      </c>
      <c r="U11" s="1">
        <v>195187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112929</v>
      </c>
      <c r="P12" s="117">
        <v>120455</v>
      </c>
      <c r="Q12" s="117">
        <v>149979</v>
      </c>
      <c r="R12" s="1">
        <v>169921</v>
      </c>
      <c r="S12" s="1">
        <v>178613</v>
      </c>
      <c r="T12" s="1">
        <v>154547</v>
      </c>
      <c r="U12" s="1">
        <v>174281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94473</v>
      </c>
      <c r="P13" s="117">
        <v>103491</v>
      </c>
      <c r="Q13" s="117">
        <v>134602</v>
      </c>
      <c r="R13" s="2">
        <v>143040</v>
      </c>
      <c r="S13" s="1">
        <v>154210</v>
      </c>
      <c r="T13" s="1">
        <v>175408</v>
      </c>
      <c r="U13" s="1">
        <v>172271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94682</v>
      </c>
      <c r="P14" s="117">
        <v>109077</v>
      </c>
      <c r="Q14" s="117">
        <v>125689</v>
      </c>
      <c r="R14" s="1">
        <v>146446</v>
      </c>
      <c r="S14" s="1">
        <v>154717</v>
      </c>
      <c r="T14" s="1">
        <v>161771</v>
      </c>
      <c r="U14" s="1">
        <v>189240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80603</v>
      </c>
      <c r="P15" s="117">
        <v>96749</v>
      </c>
      <c r="Q15" s="117">
        <v>118382</v>
      </c>
      <c r="R15" s="1">
        <v>129549</v>
      </c>
      <c r="S15" s="1">
        <v>147003</v>
      </c>
      <c r="T15" s="1">
        <v>159180</v>
      </c>
      <c r="U15" s="1">
        <v>162340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77678</v>
      </c>
      <c r="P16" s="95">
        <v>90576</v>
      </c>
      <c r="Q16" s="95">
        <v>107914</v>
      </c>
      <c r="R16" s="1">
        <v>131065</v>
      </c>
      <c r="S16" s="1">
        <v>140150</v>
      </c>
      <c r="T16" s="1">
        <v>145201</v>
      </c>
      <c r="U16" s="1">
        <v>155752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913807</v>
      </c>
      <c r="P17" s="96">
        <f>SUM(P5:P16)</f>
        <v>1112164</v>
      </c>
      <c r="Q17" s="96">
        <f>SUM(Q5:Q16)</f>
        <v>1362865</v>
      </c>
      <c r="R17" s="126">
        <f t="shared" ref="R17" si="0">SUM(R5:R16)</f>
        <v>1548192</v>
      </c>
      <c r="S17" s="126">
        <f>SUM(S5:S16)</f>
        <v>1784494</v>
      </c>
      <c r="T17" s="126">
        <f t="shared" ref="T17" si="1">SUM(T5:T16)</f>
        <v>1865930</v>
      </c>
      <c r="U17" s="126">
        <f>SUM(U5:U16)</f>
        <v>1913912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276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>
        <v>0</v>
      </c>
      <c r="P24" s="117">
        <v>6748</v>
      </c>
      <c r="Q24" s="117">
        <v>5480</v>
      </c>
      <c r="R24" s="1">
        <v>9118</v>
      </c>
      <c r="S24" s="1">
        <v>7797</v>
      </c>
      <c r="T24" s="1">
        <v>8270</v>
      </c>
      <c r="U24" s="1">
        <v>9637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>
        <v>2112</v>
      </c>
      <c r="P25" s="117">
        <v>4254</v>
      </c>
      <c r="Q25" s="117">
        <v>4701</v>
      </c>
      <c r="R25" s="1">
        <v>13176</v>
      </c>
      <c r="S25" s="1">
        <v>4831</v>
      </c>
      <c r="T25" s="1">
        <v>6177</v>
      </c>
      <c r="U25" s="1">
        <v>3777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>
        <v>3293</v>
      </c>
      <c r="P26" s="117">
        <v>3120</v>
      </c>
      <c r="Q26" s="117">
        <v>3396</v>
      </c>
      <c r="R26" s="113">
        <v>3825</v>
      </c>
      <c r="S26" s="1">
        <v>4621</v>
      </c>
      <c r="T26" s="1">
        <v>4274</v>
      </c>
      <c r="U26" s="1">
        <v>4932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>
        <v>4549</v>
      </c>
      <c r="P27" s="117">
        <v>3752</v>
      </c>
      <c r="Q27" s="117">
        <v>6135</v>
      </c>
      <c r="R27" s="117">
        <v>3060</v>
      </c>
      <c r="S27" s="1">
        <v>4369</v>
      </c>
      <c r="T27" s="1">
        <v>14362</v>
      </c>
      <c r="U27" s="1">
        <v>4507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>
        <v>4269</v>
      </c>
      <c r="P28" s="117">
        <v>2578</v>
      </c>
      <c r="Q28" s="117">
        <v>4724</v>
      </c>
      <c r="R28" s="1">
        <v>8233</v>
      </c>
      <c r="S28" s="1">
        <v>4453</v>
      </c>
      <c r="T28" s="1">
        <v>2385</v>
      </c>
      <c r="U28" s="1">
        <v>3310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>
        <v>4656</v>
      </c>
      <c r="P29" s="117">
        <v>5306</v>
      </c>
      <c r="Q29" s="117">
        <v>6829</v>
      </c>
      <c r="R29" s="1">
        <v>3453</v>
      </c>
      <c r="S29" s="1">
        <v>5027</v>
      </c>
      <c r="T29" s="1">
        <v>2408</v>
      </c>
      <c r="U29" s="1">
        <v>4192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6784</v>
      </c>
      <c r="P30" s="117">
        <v>4270</v>
      </c>
      <c r="Q30" s="117">
        <v>6621</v>
      </c>
      <c r="R30" s="1">
        <v>5723</v>
      </c>
      <c r="S30" s="1">
        <v>8714</v>
      </c>
      <c r="T30" s="1">
        <v>8101</v>
      </c>
      <c r="U30" s="1">
        <v>4628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7563</v>
      </c>
      <c r="P31" s="117">
        <v>8288</v>
      </c>
      <c r="Q31" s="117">
        <v>8603</v>
      </c>
      <c r="R31" s="1">
        <v>6570</v>
      </c>
      <c r="S31" s="1">
        <v>5448</v>
      </c>
      <c r="T31" s="1">
        <v>6715</v>
      </c>
      <c r="U31" s="1">
        <v>4355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6915</v>
      </c>
      <c r="P32" s="117">
        <v>4815</v>
      </c>
      <c r="Q32" s="117">
        <v>-1240</v>
      </c>
      <c r="R32" s="2">
        <v>5825</v>
      </c>
      <c r="S32" s="1">
        <v>3588</v>
      </c>
      <c r="T32" s="1">
        <v>8080</v>
      </c>
      <c r="U32" s="1">
        <v>6544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6561</v>
      </c>
      <c r="P33" s="117">
        <v>4600</v>
      </c>
      <c r="Q33" s="117">
        <v>10308</v>
      </c>
      <c r="R33" s="1">
        <v>4419</v>
      </c>
      <c r="S33" s="1">
        <v>5400</v>
      </c>
      <c r="T33" s="1">
        <v>8138</v>
      </c>
      <c r="U33" s="1">
        <v>6375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4490</v>
      </c>
      <c r="P34" s="117">
        <v>5508</v>
      </c>
      <c r="Q34" s="117">
        <v>5455</v>
      </c>
      <c r="R34" s="1">
        <v>4636</v>
      </c>
      <c r="S34" s="1">
        <v>4271</v>
      </c>
      <c r="T34" s="1">
        <v>11467</v>
      </c>
      <c r="U34" s="1">
        <v>5523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4169</v>
      </c>
      <c r="P35" s="95">
        <v>4035</v>
      </c>
      <c r="Q35" s="95">
        <v>2812</v>
      </c>
      <c r="R35" s="1">
        <v>4552</v>
      </c>
      <c r="S35" s="1">
        <v>5647</v>
      </c>
      <c r="T35" s="1">
        <v>4760</v>
      </c>
      <c r="U35" s="1">
        <v>4488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55361</v>
      </c>
      <c r="P36" s="96">
        <f>SUM(P24:P35)</f>
        <v>57274</v>
      </c>
      <c r="Q36" s="96">
        <f>SUM(Q24:Q35)</f>
        <v>63824</v>
      </c>
      <c r="R36" s="126">
        <f t="shared" ref="R36" si="2">SUM(R24:R35)</f>
        <v>72590</v>
      </c>
      <c r="S36" s="126">
        <f>SUM(S24:S35)</f>
        <v>64166</v>
      </c>
      <c r="T36" s="126">
        <f t="shared" ref="T36" si="3">SUM(T24:T35)</f>
        <v>85137</v>
      </c>
      <c r="U36" s="126">
        <f>SUM(U24:U35)</f>
        <v>62268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>
        <v>0</v>
      </c>
      <c r="P42" s="117">
        <v>-9</v>
      </c>
      <c r="Q42" s="117">
        <v>-148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>
        <v>0</v>
      </c>
      <c r="P43" s="117">
        <v>0</v>
      </c>
      <c r="Q43" s="117">
        <v>-2</v>
      </c>
      <c r="R43" s="1">
        <v>-270</v>
      </c>
      <c r="S43" s="117">
        <v>0</v>
      </c>
      <c r="T43" s="1">
        <v>-6</v>
      </c>
      <c r="U43" s="117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>
        <v>0</v>
      </c>
      <c r="P44" s="117">
        <v>-78</v>
      </c>
      <c r="Q44" s="117">
        <v>-131</v>
      </c>
      <c r="R44" s="117">
        <v>-239</v>
      </c>
      <c r="S44" s="1">
        <v>-4298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>
        <v>0</v>
      </c>
      <c r="P45" s="117">
        <v>-11</v>
      </c>
      <c r="Q45" s="117">
        <v>0</v>
      </c>
      <c r="R45" s="117">
        <v>0</v>
      </c>
      <c r="S45" s="117">
        <v>0</v>
      </c>
      <c r="T45" s="1">
        <v>-161</v>
      </c>
      <c r="U45" s="117">
        <v>-1082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">
        <v>-47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>
        <v>0</v>
      </c>
      <c r="P47" s="117">
        <v>0</v>
      </c>
      <c r="Q47" s="117">
        <v>0</v>
      </c>
      <c r="R47" s="1">
        <v>-198</v>
      </c>
      <c r="S47" s="117">
        <v>-1</v>
      </c>
      <c r="T47" s="1">
        <v>-87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0</v>
      </c>
      <c r="Q48" s="117">
        <v>0</v>
      </c>
      <c r="R48" s="1">
        <v>-45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-58</v>
      </c>
      <c r="Q49" s="117">
        <v>0</v>
      </c>
      <c r="R49" s="117">
        <v>-286</v>
      </c>
      <c r="S49" s="117">
        <v>-12</v>
      </c>
      <c r="T49" s="1">
        <v>-270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-426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-6</v>
      </c>
      <c r="P51" s="117">
        <v>0</v>
      </c>
      <c r="Q51" s="117">
        <v>0</v>
      </c>
      <c r="R51" s="117">
        <v>-37</v>
      </c>
      <c r="S51" s="117">
        <v>0</v>
      </c>
      <c r="T51" s="1">
        <v>-583</v>
      </c>
      <c r="U51" s="117">
        <v>-5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-270</v>
      </c>
      <c r="R52" s="117">
        <v>-7</v>
      </c>
      <c r="S52" s="117">
        <v>-1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-62</v>
      </c>
      <c r="P53" s="168">
        <v>0</v>
      </c>
      <c r="Q53" s="168">
        <v>0</v>
      </c>
      <c r="R53" s="168">
        <v>-832</v>
      </c>
      <c r="S53" s="182">
        <v>0</v>
      </c>
      <c r="T53" s="1">
        <v>-6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-68</v>
      </c>
      <c r="P54" s="96">
        <f>SUM(P42:P53)</f>
        <v>-156</v>
      </c>
      <c r="Q54" s="96">
        <f>SUM(Q42:Q53)</f>
        <v>-551</v>
      </c>
      <c r="R54" s="126">
        <f t="shared" ref="R54" si="4">SUM(R42:R53)</f>
        <v>-1914</v>
      </c>
      <c r="S54" s="126">
        <f>SUM(S42:S53)</f>
        <v>-4312</v>
      </c>
      <c r="T54" s="126">
        <f t="shared" ref="T54" si="5">SUM(T42:T53)</f>
        <v>-1160</v>
      </c>
      <c r="U54" s="126">
        <f>SUM(U42:U53)</f>
        <v>-1514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7" width="9.28515625" bestFit="1" customWidth="1"/>
    <col min="18" max="18" width="9.85546875" bestFit="1" customWidth="1"/>
    <col min="19" max="21" width="10.7109375" bestFit="1" customWidth="1"/>
  </cols>
  <sheetData>
    <row r="1" spans="1:21" x14ac:dyDescent="0.2">
      <c r="A1" s="121" t="s">
        <v>284</v>
      </c>
    </row>
    <row r="2" spans="1:21" x14ac:dyDescent="0.2">
      <c r="A2" s="24" t="s">
        <v>84</v>
      </c>
      <c r="B2" s="6">
        <v>5.0000000000000001E-3</v>
      </c>
      <c r="D2" s="94" t="s">
        <v>280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55111</v>
      </c>
      <c r="Q5" s="117">
        <v>63297</v>
      </c>
      <c r="R5" s="1">
        <v>65515</v>
      </c>
      <c r="S5" s="1">
        <v>78419</v>
      </c>
      <c r="T5" s="1">
        <v>80320</v>
      </c>
      <c r="U5" s="1">
        <v>88728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41170</v>
      </c>
      <c r="Q6" s="117">
        <v>52411</v>
      </c>
      <c r="R6" s="1">
        <v>51387</v>
      </c>
      <c r="S6" s="1">
        <v>61320</v>
      </c>
      <c r="T6" s="1">
        <v>62528</v>
      </c>
      <c r="U6" s="1">
        <v>67899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38918</v>
      </c>
      <c r="Q7" s="117">
        <v>52788</v>
      </c>
      <c r="R7" s="1">
        <v>52824</v>
      </c>
      <c r="S7" s="1">
        <v>61452</v>
      </c>
      <c r="T7" s="1">
        <v>62392</v>
      </c>
      <c r="U7" s="1">
        <v>71804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>
        <v>0</v>
      </c>
      <c r="P8" s="117">
        <v>44056</v>
      </c>
      <c r="Q8" s="117">
        <v>54590</v>
      </c>
      <c r="R8" s="1">
        <v>59249</v>
      </c>
      <c r="S8" s="1">
        <v>83701</v>
      </c>
      <c r="T8" s="1">
        <v>73796</v>
      </c>
      <c r="U8" s="1">
        <v>74981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>
        <v>31927</v>
      </c>
      <c r="P9" s="117">
        <v>38560</v>
      </c>
      <c r="Q9" s="117">
        <v>52053</v>
      </c>
      <c r="R9" s="1">
        <v>48521</v>
      </c>
      <c r="S9" s="1">
        <v>74060</v>
      </c>
      <c r="T9" s="1">
        <v>61504</v>
      </c>
      <c r="U9" s="1">
        <v>61219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>
        <v>48905</v>
      </c>
      <c r="P10" s="117">
        <v>53828</v>
      </c>
      <c r="Q10" s="117">
        <v>61307</v>
      </c>
      <c r="R10" s="1">
        <v>59569</v>
      </c>
      <c r="S10" s="1">
        <v>86257</v>
      </c>
      <c r="T10" s="1">
        <v>83610</v>
      </c>
      <c r="U10" s="1">
        <v>88515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60172</v>
      </c>
      <c r="P11" s="117">
        <v>66480</v>
      </c>
      <c r="Q11" s="117">
        <v>83197</v>
      </c>
      <c r="R11" s="1">
        <v>91756</v>
      </c>
      <c r="S11" s="1">
        <v>103969</v>
      </c>
      <c r="T11" s="1">
        <v>109514</v>
      </c>
      <c r="U11" s="1">
        <v>116096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73576</v>
      </c>
      <c r="P12" s="117">
        <v>92773</v>
      </c>
      <c r="Q12" s="117">
        <v>92803</v>
      </c>
      <c r="R12" s="1">
        <v>102955</v>
      </c>
      <c r="S12" s="1">
        <v>120947</v>
      </c>
      <c r="T12" s="1">
        <v>119522</v>
      </c>
      <c r="U12" s="1">
        <v>129131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74571</v>
      </c>
      <c r="P13" s="117">
        <v>87422</v>
      </c>
      <c r="Q13" s="117">
        <v>93066</v>
      </c>
      <c r="R13" s="2">
        <v>107235</v>
      </c>
      <c r="S13" s="1">
        <v>106208</v>
      </c>
      <c r="T13" s="1">
        <v>124029</v>
      </c>
      <c r="U13" s="1">
        <v>125638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73075</v>
      </c>
      <c r="P14" s="117">
        <v>82695</v>
      </c>
      <c r="Q14" s="117">
        <v>84580</v>
      </c>
      <c r="R14" s="1">
        <v>105235</v>
      </c>
      <c r="S14" s="1">
        <v>106780</v>
      </c>
      <c r="T14" s="1">
        <v>118208</v>
      </c>
      <c r="U14" s="1">
        <v>122368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59049</v>
      </c>
      <c r="P15" s="117">
        <v>74787</v>
      </c>
      <c r="Q15" s="117">
        <v>68470</v>
      </c>
      <c r="R15" s="1">
        <v>88079</v>
      </c>
      <c r="S15" s="1">
        <v>86596</v>
      </c>
      <c r="T15" s="1">
        <v>99885</v>
      </c>
      <c r="U15" s="1">
        <v>98665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53532</v>
      </c>
      <c r="P16" s="95">
        <v>54814</v>
      </c>
      <c r="Q16" s="95">
        <v>58662</v>
      </c>
      <c r="R16" s="1">
        <v>67292</v>
      </c>
      <c r="S16" s="1">
        <v>67901</v>
      </c>
      <c r="T16" s="1">
        <v>71933</v>
      </c>
      <c r="U16" s="1">
        <v>75729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474807</v>
      </c>
      <c r="P17" s="96">
        <f>SUM(P5:P16)</f>
        <v>730614</v>
      </c>
      <c r="Q17" s="96">
        <f>SUM(Q5:Q16)</f>
        <v>817224</v>
      </c>
      <c r="R17" s="126">
        <f t="shared" ref="R17" si="0">SUM(R5:R16)</f>
        <v>899617</v>
      </c>
      <c r="S17" s="126">
        <f>SUM(S5:S16)</f>
        <v>1037610</v>
      </c>
      <c r="T17" s="126">
        <f t="shared" ref="T17" si="1">SUM(T5:T16)</f>
        <v>1067241</v>
      </c>
      <c r="U17" s="126">
        <f>SUM(U5:U16)</f>
        <v>1120773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280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7921</v>
      </c>
      <c r="Q24" s="117">
        <v>25713</v>
      </c>
      <c r="R24" s="117">
        <v>19549</v>
      </c>
      <c r="S24" s="1">
        <v>44695</v>
      </c>
      <c r="T24" s="1">
        <v>16443</v>
      </c>
      <c r="U24" s="1">
        <v>12923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7974</v>
      </c>
      <c r="Q25" s="117">
        <v>21329</v>
      </c>
      <c r="R25" s="113">
        <v>10084</v>
      </c>
      <c r="S25" s="1">
        <v>8099</v>
      </c>
      <c r="T25" s="1">
        <v>14915</v>
      </c>
      <c r="U25" s="1">
        <v>8596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7697</v>
      </c>
      <c r="Q26" s="117">
        <v>12586</v>
      </c>
      <c r="R26" s="1">
        <v>7809</v>
      </c>
      <c r="S26" s="1">
        <v>13837</v>
      </c>
      <c r="T26" s="1">
        <v>12522</v>
      </c>
      <c r="U26" s="1">
        <v>11698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>
        <v>0</v>
      </c>
      <c r="P27" s="117">
        <v>9537</v>
      </c>
      <c r="Q27" s="117">
        <v>20897</v>
      </c>
      <c r="R27" s="117">
        <v>10007</v>
      </c>
      <c r="S27" s="1">
        <v>13893</v>
      </c>
      <c r="T27" s="1">
        <v>14242</v>
      </c>
      <c r="U27" s="1">
        <v>12643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>
        <v>6448</v>
      </c>
      <c r="P28" s="117">
        <v>21397</v>
      </c>
      <c r="Q28" s="117">
        <v>15299</v>
      </c>
      <c r="R28" s="1">
        <v>5639</v>
      </c>
      <c r="S28" s="1">
        <v>12967</v>
      </c>
      <c r="T28" s="1">
        <v>9447</v>
      </c>
      <c r="U28" s="1">
        <v>9313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>
        <v>10602</v>
      </c>
      <c r="P29" s="117">
        <v>8264</v>
      </c>
      <c r="Q29" s="117">
        <v>8206</v>
      </c>
      <c r="R29" s="113">
        <v>3366</v>
      </c>
      <c r="S29" s="1">
        <v>11782</v>
      </c>
      <c r="T29" s="1">
        <v>17707</v>
      </c>
      <c r="U29" s="1">
        <v>10143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6644</v>
      </c>
      <c r="P30" s="117">
        <v>8952</v>
      </c>
      <c r="Q30" s="117">
        <v>9358</v>
      </c>
      <c r="R30" s="1">
        <v>9915</v>
      </c>
      <c r="S30" s="1">
        <v>17192</v>
      </c>
      <c r="T30" s="1">
        <v>11403</v>
      </c>
      <c r="U30" s="1">
        <v>11898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4356</v>
      </c>
      <c r="P31" s="117">
        <v>32846</v>
      </c>
      <c r="Q31" s="117">
        <v>12370</v>
      </c>
      <c r="R31" s="1">
        <v>5034</v>
      </c>
      <c r="S31" s="1">
        <v>19720</v>
      </c>
      <c r="T31" s="1">
        <v>7112</v>
      </c>
      <c r="U31" s="1">
        <v>17427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9719</v>
      </c>
      <c r="P32" s="117">
        <v>10530</v>
      </c>
      <c r="Q32" s="117">
        <v>8097</v>
      </c>
      <c r="R32" s="2">
        <v>6375</v>
      </c>
      <c r="S32" s="1">
        <v>16271</v>
      </c>
      <c r="T32" s="1">
        <v>10013</v>
      </c>
      <c r="U32" s="1">
        <v>12538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7713</v>
      </c>
      <c r="P33" s="117">
        <v>24632</v>
      </c>
      <c r="Q33" s="117">
        <v>7688</v>
      </c>
      <c r="R33" s="1">
        <v>15887</v>
      </c>
      <c r="S33" s="1">
        <v>8050</v>
      </c>
      <c r="T33" s="1">
        <v>8846</v>
      </c>
      <c r="U33" s="1">
        <v>13881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7907</v>
      </c>
      <c r="P34" s="117">
        <v>34852</v>
      </c>
      <c r="Q34" s="117">
        <v>7505</v>
      </c>
      <c r="R34" s="1">
        <v>11668</v>
      </c>
      <c r="S34" s="1">
        <v>12381</v>
      </c>
      <c r="T34" s="1">
        <v>5850</v>
      </c>
      <c r="U34" s="1">
        <v>13321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6120</v>
      </c>
      <c r="P35" s="95">
        <v>13572</v>
      </c>
      <c r="Q35" s="95">
        <v>6712</v>
      </c>
      <c r="R35" s="1">
        <v>14003</v>
      </c>
      <c r="S35" s="1">
        <v>11797</v>
      </c>
      <c r="T35" s="1">
        <v>7509</v>
      </c>
      <c r="U35" s="1">
        <v>10690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59509</v>
      </c>
      <c r="P36" s="96">
        <f>SUM(P24:P35)</f>
        <v>188174</v>
      </c>
      <c r="Q36" s="96">
        <f>SUM(Q24:Q35)</f>
        <v>155760</v>
      </c>
      <c r="R36" s="126">
        <f t="shared" ref="R36" si="2">SUM(R24:R35)</f>
        <v>119336</v>
      </c>
      <c r="S36" s="126">
        <f>SUM(S24:S35)</f>
        <v>190684</v>
      </c>
      <c r="T36" s="126">
        <f t="shared" ref="T36" si="3">SUM(T24:T35)</f>
        <v>136009</v>
      </c>
      <c r="U36" s="126">
        <f>SUM(U24:U35)</f>
        <v>145071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">
        <v>-7660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-1917</v>
      </c>
      <c r="U43" s="117">
        <v>-345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17">
        <v>-8</v>
      </c>
      <c r="S44" s="117">
        <v>0</v>
      </c>
      <c r="T44" s="1">
        <v>-8</v>
      </c>
      <c r="U44" s="117">
        <v>-632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>
        <v>0</v>
      </c>
      <c r="P45" s="117">
        <v>0</v>
      </c>
      <c r="Q45" s="117">
        <v>0</v>
      </c>
      <c r="R45" s="117">
        <v>-167355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>
        <v>0</v>
      </c>
      <c r="P46" s="117">
        <v>0</v>
      </c>
      <c r="Q46" s="117">
        <v>0</v>
      </c>
      <c r="R46" s="117">
        <v>-1075</v>
      </c>
      <c r="S46" s="117">
        <v>0</v>
      </c>
      <c r="T46" s="1">
        <v>-20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>
        <v>0</v>
      </c>
      <c r="P47" s="117">
        <v>0</v>
      </c>
      <c r="Q47" s="117">
        <v>0</v>
      </c>
      <c r="R47" s="1">
        <v>-8</v>
      </c>
      <c r="S47" s="117">
        <v>0</v>
      </c>
      <c r="T47" s="1">
        <v>-350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0</v>
      </c>
      <c r="Q48" s="117">
        <v>0</v>
      </c>
      <c r="R48" s="1">
        <v>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0</v>
      </c>
      <c r="Q49" s="117">
        <v>0</v>
      </c>
      <c r="R49" s="1">
        <v>-168430</v>
      </c>
      <c r="S49" s="117">
        <v>-15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0</v>
      </c>
      <c r="Q50" s="117">
        <v>0</v>
      </c>
      <c r="R50" s="117">
        <v>0</v>
      </c>
      <c r="S50" s="1">
        <v>0</v>
      </c>
      <c r="T50" s="1">
        <v>-19</v>
      </c>
      <c r="U50" s="1">
        <v>-18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-18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-2112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0</v>
      </c>
      <c r="Q53" s="168">
        <v>0</v>
      </c>
      <c r="R53" s="168">
        <v>-37</v>
      </c>
      <c r="S53" s="1">
        <v>-2653</v>
      </c>
      <c r="T53" s="1">
        <v>-3</v>
      </c>
      <c r="U53" s="1">
        <v>-7427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0</v>
      </c>
      <c r="Q54" s="96">
        <f>SUM(Q42:Q53)</f>
        <v>0</v>
      </c>
      <c r="R54" s="126">
        <f t="shared" ref="R54" si="4">SUM(R42:R53)</f>
        <v>-336913</v>
      </c>
      <c r="S54" s="126">
        <f>SUM(S42:S53)</f>
        <v>-10328</v>
      </c>
      <c r="T54" s="126">
        <f t="shared" ref="T54" si="5">SUM(T42:T53)</f>
        <v>-4429</v>
      </c>
      <c r="U54" s="126">
        <f>SUM(U42:U53)</f>
        <v>-8440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445</v>
      </c>
      <c r="B57" s="6">
        <v>0.04</v>
      </c>
      <c r="D57" s="94" t="s">
        <v>444</v>
      </c>
      <c r="F57" s="2"/>
      <c r="H57" s="2"/>
      <c r="L57" s="94"/>
    </row>
    <row r="58" spans="1:21" x14ac:dyDescent="0.2">
      <c r="A58" s="25"/>
      <c r="B58" s="16">
        <v>2004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95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1"/>
      <c r="H60" s="2"/>
      <c r="I60" s="2"/>
      <c r="J60" s="2"/>
      <c r="K60" s="2"/>
      <c r="L60" s="102"/>
      <c r="M60" s="117"/>
      <c r="N60" s="117"/>
      <c r="O60" s="117"/>
      <c r="P60" s="117"/>
      <c r="Q60" s="117"/>
      <c r="R60" s="117"/>
      <c r="S60" s="1">
        <v>58629</v>
      </c>
      <c r="T60" s="1">
        <v>75047</v>
      </c>
      <c r="U60" s="1">
        <v>72728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1"/>
      <c r="H61" s="2"/>
      <c r="I61" s="2"/>
      <c r="J61" s="2"/>
      <c r="K61" s="2"/>
      <c r="L61" s="102"/>
      <c r="M61" s="117"/>
      <c r="N61" s="117"/>
      <c r="O61" s="117"/>
      <c r="P61" s="117"/>
      <c r="Q61" s="117"/>
      <c r="R61" s="113"/>
      <c r="S61" s="1">
        <v>61244</v>
      </c>
      <c r="T61" s="1">
        <v>73760</v>
      </c>
      <c r="U61" s="1">
        <v>83508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1"/>
      <c r="H62" s="2"/>
      <c r="I62" s="2"/>
      <c r="J62" s="2"/>
      <c r="K62" s="2"/>
      <c r="L62" s="102"/>
      <c r="M62" s="117"/>
      <c r="N62" s="117"/>
      <c r="O62" s="117"/>
      <c r="P62" s="117"/>
      <c r="Q62" s="117"/>
      <c r="R62" s="1"/>
      <c r="S62" s="1">
        <v>72249</v>
      </c>
      <c r="T62" s="1">
        <v>82352</v>
      </c>
      <c r="U62" s="1">
        <v>71519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1"/>
      <c r="H63" s="2"/>
      <c r="I63" s="2"/>
      <c r="J63" s="2"/>
      <c r="K63" s="2"/>
      <c r="L63" s="102"/>
      <c r="M63" s="117"/>
      <c r="N63" s="117"/>
      <c r="O63" s="117"/>
      <c r="P63" s="117"/>
      <c r="Q63" s="117"/>
      <c r="R63" s="117"/>
      <c r="S63" s="1">
        <v>93659</v>
      </c>
      <c r="T63" s="1">
        <v>90301</v>
      </c>
      <c r="U63" s="1">
        <v>80884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1"/>
      <c r="H64" s="2"/>
      <c r="I64" s="2"/>
      <c r="J64" s="2"/>
      <c r="K64" s="2"/>
      <c r="L64" s="102"/>
      <c r="M64" s="117"/>
      <c r="N64" s="117"/>
      <c r="O64" s="117"/>
      <c r="P64" s="117"/>
      <c r="Q64" s="117"/>
      <c r="R64" s="1"/>
      <c r="S64" s="1">
        <v>85110</v>
      </c>
      <c r="T64" s="1">
        <v>75334</v>
      </c>
      <c r="U64" s="1">
        <v>62892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1"/>
      <c r="H65" s="2"/>
      <c r="I65" s="2"/>
      <c r="J65" s="2"/>
      <c r="K65" s="2"/>
      <c r="L65" s="102"/>
      <c r="M65" s="117"/>
      <c r="N65" s="117"/>
      <c r="O65" s="117"/>
      <c r="P65" s="117"/>
      <c r="Q65" s="117"/>
      <c r="R65" s="113"/>
      <c r="S65" s="1">
        <v>119393</v>
      </c>
      <c r="T65" s="1">
        <v>115190</v>
      </c>
      <c r="U65" s="1">
        <v>112034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1"/>
      <c r="H66" s="2"/>
      <c r="I66" s="2"/>
      <c r="J66" s="2"/>
      <c r="K66" s="2"/>
      <c r="L66" s="102"/>
      <c r="M66" s="117"/>
      <c r="N66" s="117"/>
      <c r="O66" s="117"/>
      <c r="P66" s="117"/>
      <c r="Q66" s="117"/>
      <c r="R66" s="1"/>
      <c r="S66" s="1">
        <v>183650</v>
      </c>
      <c r="T66" s="1">
        <v>214428</v>
      </c>
      <c r="U66" s="1">
        <v>217513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1"/>
      <c r="H67" s="2"/>
      <c r="I67" s="2"/>
      <c r="J67" s="2"/>
      <c r="K67" s="2"/>
      <c r="L67" s="102"/>
      <c r="M67" s="117"/>
      <c r="N67" s="117"/>
      <c r="O67" s="117"/>
      <c r="P67" s="117"/>
      <c r="Q67" s="117"/>
      <c r="R67" s="1"/>
      <c r="S67" s="1">
        <v>275728</v>
      </c>
      <c r="T67" s="1">
        <v>267051</v>
      </c>
      <c r="U67" s="1">
        <v>254744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1"/>
      <c r="H68" s="2"/>
      <c r="I68" s="2"/>
      <c r="J68" s="2"/>
      <c r="K68" s="2"/>
      <c r="L68" s="102"/>
      <c r="M68" s="117"/>
      <c r="N68" s="117"/>
      <c r="O68" s="117"/>
      <c r="P68" s="117"/>
      <c r="Q68" s="117"/>
      <c r="R68" s="2"/>
      <c r="S68" s="1">
        <v>230795</v>
      </c>
      <c r="T68" s="1">
        <v>245368</v>
      </c>
      <c r="U68" s="1">
        <v>262777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1"/>
      <c r="H69" s="2"/>
      <c r="I69" s="2"/>
      <c r="J69" s="2"/>
      <c r="K69" s="2"/>
      <c r="L69" s="102"/>
      <c r="M69" s="117"/>
      <c r="N69" s="117"/>
      <c r="O69" s="117"/>
      <c r="P69" s="117"/>
      <c r="Q69" s="117"/>
      <c r="R69" s="1"/>
      <c r="S69" s="1">
        <v>220734</v>
      </c>
      <c r="T69" s="1">
        <v>233179</v>
      </c>
      <c r="U69" s="1">
        <v>247860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1"/>
      <c r="H70" s="2"/>
      <c r="I70" s="2"/>
      <c r="J70" s="2"/>
      <c r="K70" s="2"/>
      <c r="L70" s="102"/>
      <c r="M70" s="117"/>
      <c r="N70" s="117"/>
      <c r="O70" s="117"/>
      <c r="P70" s="117"/>
      <c r="Q70" s="117"/>
      <c r="R70" s="1">
        <v>120130</v>
      </c>
      <c r="S70" s="1">
        <v>152806</v>
      </c>
      <c r="T70" s="1">
        <v>159004</v>
      </c>
      <c r="U70" s="1">
        <v>155330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39"/>
      <c r="H71" s="40"/>
      <c r="I71" s="40"/>
      <c r="J71" s="40"/>
      <c r="K71" s="40"/>
      <c r="L71" s="95"/>
      <c r="M71" s="95"/>
      <c r="N71" s="95"/>
      <c r="O71" s="95"/>
      <c r="P71" s="95"/>
      <c r="Q71" s="95"/>
      <c r="R71" s="1">
        <v>44201</v>
      </c>
      <c r="S71" s="1">
        <v>66835</v>
      </c>
      <c r="T71" s="1">
        <v>61128</v>
      </c>
      <c r="U71" s="1">
        <v>57275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96"/>
      <c r="M72" s="96"/>
      <c r="N72" s="96"/>
      <c r="O72" s="96">
        <f>SUM(O60:O71)</f>
        <v>0</v>
      </c>
      <c r="P72" s="96">
        <f>SUM(P60:P71)</f>
        <v>0</v>
      </c>
      <c r="Q72" s="96">
        <f>SUM(Q60:Q71)</f>
        <v>0</v>
      </c>
      <c r="R72" s="126">
        <f t="shared" ref="R72" si="6">SUM(R60:R71)</f>
        <v>164331</v>
      </c>
      <c r="S72" s="126">
        <f>SUM(S60:S71)</f>
        <v>1620832</v>
      </c>
      <c r="T72" s="126">
        <f t="shared" ref="T72" si="7">SUM(T60:T71)</f>
        <v>1692142</v>
      </c>
      <c r="U72" s="126">
        <f>SUM(U60:U71)</f>
        <v>1679064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1" width="11.7109375" bestFit="1" customWidth="1"/>
  </cols>
  <sheetData>
    <row r="1" spans="1:21" x14ac:dyDescent="0.2">
      <c r="A1" s="121" t="s">
        <v>294</v>
      </c>
    </row>
    <row r="2" spans="1:21" x14ac:dyDescent="0.2">
      <c r="A2" s="24" t="s">
        <v>84</v>
      </c>
      <c r="B2" s="6">
        <v>2.5000000000000001E-3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1487078</v>
      </c>
      <c r="Q5" s="117">
        <v>1590648</v>
      </c>
      <c r="R5" s="1">
        <v>1727298</v>
      </c>
      <c r="S5" s="1">
        <v>1671880</v>
      </c>
      <c r="T5" s="1">
        <v>1680045</v>
      </c>
      <c r="U5" s="1">
        <v>1920718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1138681</v>
      </c>
      <c r="Q6" s="117">
        <v>1193610</v>
      </c>
      <c r="R6" s="1">
        <v>1235175</v>
      </c>
      <c r="S6" s="1">
        <v>1331608</v>
      </c>
      <c r="T6" s="1">
        <v>1513846</v>
      </c>
      <c r="U6" s="1">
        <v>1617556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1035856</v>
      </c>
      <c r="Q7" s="117">
        <v>1072098</v>
      </c>
      <c r="R7" s="1">
        <v>1190013</v>
      </c>
      <c r="S7" s="1">
        <v>1229435</v>
      </c>
      <c r="T7" s="1">
        <v>1404575</v>
      </c>
      <c r="U7" s="1">
        <v>1444108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1208101</v>
      </c>
      <c r="Q8" s="117">
        <v>1310067</v>
      </c>
      <c r="R8" s="1">
        <v>1253015</v>
      </c>
      <c r="S8" s="1">
        <v>1579175</v>
      </c>
      <c r="T8" s="1">
        <v>1816909</v>
      </c>
      <c r="U8" s="1">
        <v>1816725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1119966</v>
      </c>
      <c r="Q9" s="117">
        <v>1333993</v>
      </c>
      <c r="R9" s="1">
        <v>1202469</v>
      </c>
      <c r="S9" s="1">
        <v>1491505</v>
      </c>
      <c r="T9" s="1">
        <v>1546612</v>
      </c>
      <c r="U9" s="1">
        <v>1664208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1404800</v>
      </c>
      <c r="Q10" s="117">
        <v>1450045</v>
      </c>
      <c r="R10" s="1">
        <v>1465333</v>
      </c>
      <c r="S10" s="1">
        <v>1638740</v>
      </c>
      <c r="T10" s="1">
        <v>2145117</v>
      </c>
      <c r="U10" s="1">
        <v>1978632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1258040</v>
      </c>
      <c r="Q11" s="117">
        <v>1437109</v>
      </c>
      <c r="R11" s="1">
        <v>1512534</v>
      </c>
      <c r="S11" s="1">
        <v>1675222</v>
      </c>
      <c r="T11" s="1">
        <v>1873118</v>
      </c>
      <c r="U11" s="1">
        <v>2104178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1553366</v>
      </c>
      <c r="Q12" s="117">
        <v>1599018</v>
      </c>
      <c r="R12" s="1">
        <v>1642647</v>
      </c>
      <c r="S12" s="1">
        <v>1852698</v>
      </c>
      <c r="T12" s="1">
        <v>1772834</v>
      </c>
      <c r="U12" s="1">
        <v>1861024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1497021</v>
      </c>
      <c r="Q13" s="117">
        <v>1535620</v>
      </c>
      <c r="R13" s="2">
        <v>1491565</v>
      </c>
      <c r="S13" s="1">
        <v>1650625</v>
      </c>
      <c r="T13" s="1">
        <v>1859871</v>
      </c>
      <c r="U13" s="1">
        <v>1981998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1353</v>
      </c>
      <c r="P14" s="117">
        <v>1331756</v>
      </c>
      <c r="Q14" s="117">
        <v>1474158</v>
      </c>
      <c r="R14" s="1">
        <v>1515664</v>
      </c>
      <c r="S14" s="1">
        <v>1730360</v>
      </c>
      <c r="T14" s="1">
        <v>1813320</v>
      </c>
      <c r="U14" s="1">
        <v>1919106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1169713</v>
      </c>
      <c r="P15" s="117">
        <v>1339229</v>
      </c>
      <c r="Q15" s="117">
        <v>1449065</v>
      </c>
      <c r="R15" s="1">
        <v>1425224</v>
      </c>
      <c r="S15" s="1">
        <v>1610934</v>
      </c>
      <c r="T15" s="1">
        <v>1782935</v>
      </c>
      <c r="U15" s="1">
        <v>1791325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1244482</v>
      </c>
      <c r="P16" s="95">
        <v>1379306</v>
      </c>
      <c r="Q16" s="95">
        <v>1393127</v>
      </c>
      <c r="R16" s="1">
        <v>1491600</v>
      </c>
      <c r="S16" s="1">
        <v>1628124</v>
      </c>
      <c r="T16" s="1">
        <v>2023120</v>
      </c>
      <c r="U16" s="1">
        <v>1821721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2415548</v>
      </c>
      <c r="P17" s="96">
        <f>SUM(P5:P16)</f>
        <v>15753200</v>
      </c>
      <c r="Q17" s="96">
        <f>SUM(Q5:Q16)</f>
        <v>16838558</v>
      </c>
      <c r="R17" s="126">
        <f t="shared" ref="R17" si="0">SUM(R5:R16)</f>
        <v>17152537</v>
      </c>
      <c r="S17" s="126">
        <f>SUM(S5:S16)</f>
        <v>19090306</v>
      </c>
      <c r="T17" s="126">
        <f t="shared" ref="T17" si="1">SUM(T5:T16)</f>
        <v>21232302</v>
      </c>
      <c r="U17" s="126">
        <f>SUM(U5:U16)</f>
        <v>21921299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68581</v>
      </c>
      <c r="Q24" s="117">
        <v>93095</v>
      </c>
      <c r="R24" s="1">
        <v>83973</v>
      </c>
      <c r="S24" s="1">
        <v>93006</v>
      </c>
      <c r="T24" s="1">
        <v>89388</v>
      </c>
      <c r="U24" s="1">
        <v>106662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69936</v>
      </c>
      <c r="Q25" s="117">
        <v>78302</v>
      </c>
      <c r="R25" s="1">
        <v>66188</v>
      </c>
      <c r="S25" s="1">
        <v>68644</v>
      </c>
      <c r="T25" s="1">
        <v>72747</v>
      </c>
      <c r="U25" s="1">
        <v>90706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61820</v>
      </c>
      <c r="Q26" s="117">
        <v>52149</v>
      </c>
      <c r="R26" s="1">
        <v>62976</v>
      </c>
      <c r="S26" s="1">
        <v>60249</v>
      </c>
      <c r="T26" s="1">
        <v>66278</v>
      </c>
      <c r="U26" s="1">
        <v>93522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75290</v>
      </c>
      <c r="Q27" s="117">
        <v>66288</v>
      </c>
      <c r="R27" s="1">
        <v>62533</v>
      </c>
      <c r="S27" s="1">
        <v>64345</v>
      </c>
      <c r="T27" s="1">
        <v>57688</v>
      </c>
      <c r="U27" s="1">
        <v>112169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67334</v>
      </c>
      <c r="Q28" s="117">
        <v>62197</v>
      </c>
      <c r="R28" s="1">
        <v>63272</v>
      </c>
      <c r="S28" s="1">
        <v>67080</v>
      </c>
      <c r="T28" s="1">
        <v>76548</v>
      </c>
      <c r="U28" s="1">
        <v>77562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81008</v>
      </c>
      <c r="Q29" s="117">
        <v>76773</v>
      </c>
      <c r="R29" s="1">
        <v>63515</v>
      </c>
      <c r="S29" s="1">
        <v>48893</v>
      </c>
      <c r="T29" s="1">
        <v>75429</v>
      </c>
      <c r="U29" s="1">
        <v>115672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74048</v>
      </c>
      <c r="Q30" s="117">
        <v>76460</v>
      </c>
      <c r="R30" s="1">
        <v>69369</v>
      </c>
      <c r="S30" s="1">
        <v>80278</v>
      </c>
      <c r="T30" s="1">
        <v>84688</v>
      </c>
      <c r="U30" s="1">
        <v>117559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70347</v>
      </c>
      <c r="Q31" s="117">
        <v>72780</v>
      </c>
      <c r="R31" s="1">
        <v>67962</v>
      </c>
      <c r="S31" s="1">
        <v>83998</v>
      </c>
      <c r="T31" s="1">
        <v>79836</v>
      </c>
      <c r="U31" s="1">
        <v>104575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68064</v>
      </c>
      <c r="Q32" s="117">
        <v>73565</v>
      </c>
      <c r="R32" s="2">
        <v>58971</v>
      </c>
      <c r="S32" s="1">
        <v>77068</v>
      </c>
      <c r="T32" s="1">
        <v>130806</v>
      </c>
      <c r="U32" s="1">
        <v>121232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22</v>
      </c>
      <c r="P33" s="117">
        <v>76262</v>
      </c>
      <c r="Q33" s="117">
        <v>80335</v>
      </c>
      <c r="R33" s="1">
        <v>66378</v>
      </c>
      <c r="S33" s="1">
        <v>72132</v>
      </c>
      <c r="T33" s="1">
        <v>117877</v>
      </c>
      <c r="U33" s="1">
        <v>132012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61581</v>
      </c>
      <c r="P34" s="117">
        <v>78343</v>
      </c>
      <c r="Q34" s="117">
        <v>83500</v>
      </c>
      <c r="R34" s="1">
        <v>74799</v>
      </c>
      <c r="S34" s="1">
        <v>82436</v>
      </c>
      <c r="T34" s="1">
        <v>114406</v>
      </c>
      <c r="U34" s="1">
        <v>137525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59842</v>
      </c>
      <c r="P35" s="95">
        <v>40851</v>
      </c>
      <c r="Q35" s="95">
        <v>63454</v>
      </c>
      <c r="R35" s="1">
        <v>47327</v>
      </c>
      <c r="S35" s="1">
        <v>71450</v>
      </c>
      <c r="T35" s="1">
        <v>100966</v>
      </c>
      <c r="U35" s="1">
        <v>114823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121445</v>
      </c>
      <c r="P36" s="96">
        <f>SUM(P24:P35)</f>
        <v>831884</v>
      </c>
      <c r="Q36" s="96">
        <f>SUM(Q24:Q35)</f>
        <v>878898</v>
      </c>
      <c r="R36" s="126">
        <f t="shared" ref="R36" si="2">SUM(R24:R35)</f>
        <v>787263</v>
      </c>
      <c r="S36" s="126">
        <f>SUM(S24:S35)</f>
        <v>869579</v>
      </c>
      <c r="T36" s="126">
        <f t="shared" ref="T36" si="3">SUM(T24:T35)</f>
        <v>1066657</v>
      </c>
      <c r="U36" s="126">
        <f>SUM(U24:U35)</f>
        <v>1324019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-207755</v>
      </c>
      <c r="R42" s="1">
        <v>-1766</v>
      </c>
      <c r="S42" s="1">
        <v>-1257</v>
      </c>
      <c r="T42" s="1">
        <v>-7928</v>
      </c>
      <c r="U42" s="1">
        <v>-141785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-31</v>
      </c>
      <c r="Q43" s="117">
        <v>-140</v>
      </c>
      <c r="R43" s="1">
        <v>-4855</v>
      </c>
      <c r="S43" s="1">
        <v>-136069</v>
      </c>
      <c r="T43" s="1">
        <v>-76865</v>
      </c>
      <c r="U43" s="1">
        <v>-167826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-33</v>
      </c>
      <c r="Q44" s="117">
        <v>-13876</v>
      </c>
      <c r="R44" s="1">
        <v>-5065</v>
      </c>
      <c r="S44" s="1">
        <v>-41391</v>
      </c>
      <c r="T44" s="1">
        <v>-14790</v>
      </c>
      <c r="U44" s="1">
        <v>-4671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-8</v>
      </c>
      <c r="Q45" s="117">
        <v>-73802</v>
      </c>
      <c r="R45" s="1">
        <v>-3095</v>
      </c>
      <c r="S45" s="1">
        <v>-236132</v>
      </c>
      <c r="T45" s="1">
        <v>-1579</v>
      </c>
      <c r="U45" s="1">
        <v>-25268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-575</v>
      </c>
      <c r="Q46" s="117">
        <v>-149</v>
      </c>
      <c r="R46" s="1">
        <v>-224672</v>
      </c>
      <c r="S46" s="1">
        <v>-1415</v>
      </c>
      <c r="T46" s="1">
        <v>-30356</v>
      </c>
      <c r="U46" s="1">
        <v>-4112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-1100</v>
      </c>
      <c r="Q47" s="117">
        <v>-6418</v>
      </c>
      <c r="R47" s="1">
        <v>-24083</v>
      </c>
      <c r="S47" s="1">
        <v>-1778</v>
      </c>
      <c r="T47" s="1">
        <v>-85682</v>
      </c>
      <c r="U47" s="1">
        <v>-35114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-2927</v>
      </c>
      <c r="Q48" s="117">
        <v>-237</v>
      </c>
      <c r="R48" s="1">
        <v>-4879</v>
      </c>
      <c r="S48" s="1">
        <v>-2733</v>
      </c>
      <c r="T48" s="1">
        <v>-34910</v>
      </c>
      <c r="U48" s="1">
        <v>-2190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-70</v>
      </c>
      <c r="Q49" s="117">
        <v>-1648</v>
      </c>
      <c r="R49" s="1">
        <v>-10053</v>
      </c>
      <c r="S49" s="1">
        <v>-65142</v>
      </c>
      <c r="T49" s="1">
        <v>-1561</v>
      </c>
      <c r="U49" s="1">
        <v>-8774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-150</v>
      </c>
      <c r="Q50" s="117">
        <v>-1345</v>
      </c>
      <c r="R50" s="2">
        <v>-5149</v>
      </c>
      <c r="S50" s="1">
        <v>-56251</v>
      </c>
      <c r="T50" s="1">
        <v>-6502</v>
      </c>
      <c r="U50" s="1">
        <v>-10993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-135</v>
      </c>
      <c r="Q51" s="117">
        <v>-750</v>
      </c>
      <c r="R51" s="1">
        <v>-68858</v>
      </c>
      <c r="S51" s="117">
        <v>-593</v>
      </c>
      <c r="T51" s="1">
        <v>-2101</v>
      </c>
      <c r="U51" s="1">
        <v>-11120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-6</v>
      </c>
      <c r="P52" s="117">
        <v>-3869</v>
      </c>
      <c r="Q52" s="117">
        <v>-1848</v>
      </c>
      <c r="R52" s="1">
        <v>-39329</v>
      </c>
      <c r="S52" s="1">
        <v>-14172</v>
      </c>
      <c r="T52" s="1">
        <v>-1020</v>
      </c>
      <c r="U52" s="1">
        <v>-60849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0</v>
      </c>
      <c r="P53" s="95">
        <v>-457</v>
      </c>
      <c r="Q53" s="95">
        <v>-789</v>
      </c>
      <c r="R53" s="1">
        <v>-5600</v>
      </c>
      <c r="S53" s="1">
        <v>-1287</v>
      </c>
      <c r="T53" s="1">
        <v>-3080</v>
      </c>
      <c r="U53" s="1">
        <v>-13264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-6</v>
      </c>
      <c r="P54" s="96">
        <f>SUM(P42:P53)</f>
        <v>-9355</v>
      </c>
      <c r="Q54" s="96">
        <f>SUM(Q42:Q53)</f>
        <v>-308757</v>
      </c>
      <c r="R54" s="126">
        <f t="shared" ref="R54" si="4">SUM(R42:R53)</f>
        <v>-397404</v>
      </c>
      <c r="S54" s="126">
        <f>SUM(S42:S53)</f>
        <v>-558220</v>
      </c>
      <c r="T54" s="126">
        <f t="shared" ref="T54" si="5">SUM(T42:T53)</f>
        <v>-266374</v>
      </c>
      <c r="U54" s="126">
        <f>SUM(U42:U53)</f>
        <v>-485966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110340</v>
      </c>
      <c r="Q60" s="117">
        <v>119400</v>
      </c>
      <c r="R60" s="1">
        <v>118760</v>
      </c>
      <c r="S60" s="1">
        <v>121980</v>
      </c>
      <c r="T60" s="1">
        <v>97720</v>
      </c>
      <c r="U60" s="1">
        <v>105440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95680</v>
      </c>
      <c r="Q61" s="117">
        <v>99080</v>
      </c>
      <c r="R61" s="1">
        <v>100100</v>
      </c>
      <c r="S61" s="1">
        <v>101320</v>
      </c>
      <c r="T61" s="1">
        <v>102880</v>
      </c>
      <c r="U61" s="1">
        <v>97580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94720</v>
      </c>
      <c r="Q62" s="117">
        <v>87480</v>
      </c>
      <c r="R62" s="1">
        <v>113540</v>
      </c>
      <c r="S62" s="1">
        <v>98700</v>
      </c>
      <c r="T62" s="1">
        <v>90840</v>
      </c>
      <c r="U62" s="1">
        <v>95580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127880</v>
      </c>
      <c r="Q63" s="117">
        <v>132200</v>
      </c>
      <c r="R63" s="1">
        <v>101200</v>
      </c>
      <c r="S63" s="1">
        <v>148560</v>
      </c>
      <c r="T63" s="1">
        <v>115180</v>
      </c>
      <c r="U63" s="1">
        <v>131240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109340</v>
      </c>
      <c r="Q64" s="117">
        <v>110560</v>
      </c>
      <c r="R64" s="117">
        <v>76560</v>
      </c>
      <c r="S64" s="1">
        <v>129260</v>
      </c>
      <c r="T64" s="1">
        <v>106820</v>
      </c>
      <c r="U64" s="1">
        <v>121760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140660</v>
      </c>
      <c r="Q65" s="117">
        <v>130200</v>
      </c>
      <c r="R65" s="113">
        <v>112640</v>
      </c>
      <c r="S65" s="1">
        <v>140420</v>
      </c>
      <c r="T65" s="1">
        <v>122440</v>
      </c>
      <c r="U65" s="1">
        <v>128820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126140</v>
      </c>
      <c r="Q66" s="117">
        <v>118100</v>
      </c>
      <c r="R66" s="1">
        <v>128640</v>
      </c>
      <c r="S66" s="1">
        <v>107560</v>
      </c>
      <c r="T66" s="1">
        <v>121480</v>
      </c>
      <c r="U66" s="1">
        <v>130900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133520</v>
      </c>
      <c r="Q67" s="117">
        <v>142880</v>
      </c>
      <c r="R67" s="1">
        <v>153780</v>
      </c>
      <c r="S67" s="1">
        <v>160780</v>
      </c>
      <c r="T67" s="1">
        <v>102580</v>
      </c>
      <c r="U67" s="1">
        <v>134460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133300</v>
      </c>
      <c r="Q68" s="117">
        <v>139400</v>
      </c>
      <c r="R68" s="2">
        <v>126560</v>
      </c>
      <c r="S68" s="1">
        <v>101900</v>
      </c>
      <c r="T68" s="1">
        <v>132340</v>
      </c>
      <c r="U68" s="1">
        <v>126200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120960</v>
      </c>
      <c r="Q69" s="117">
        <v>131860</v>
      </c>
      <c r="R69" s="1">
        <v>121660</v>
      </c>
      <c r="S69" s="1">
        <v>115140</v>
      </c>
      <c r="T69" s="1">
        <v>115040</v>
      </c>
      <c r="U69" s="1">
        <v>123200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101620</v>
      </c>
      <c r="P70" s="117">
        <v>113160</v>
      </c>
      <c r="Q70" s="117">
        <v>125340</v>
      </c>
      <c r="R70" s="1">
        <v>106600</v>
      </c>
      <c r="S70" s="1">
        <v>108420</v>
      </c>
      <c r="T70" s="1">
        <v>106360</v>
      </c>
      <c r="U70" s="1">
        <v>109780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99440</v>
      </c>
      <c r="P71" s="95">
        <v>107180</v>
      </c>
      <c r="Q71" s="95">
        <v>136800</v>
      </c>
      <c r="R71" s="1">
        <v>90840</v>
      </c>
      <c r="S71" s="1">
        <v>90580</v>
      </c>
      <c r="T71" s="1">
        <v>104320</v>
      </c>
      <c r="U71" s="1">
        <v>111380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0</v>
      </c>
      <c r="O72" s="96">
        <f>SUM(O60:O71)</f>
        <v>201060</v>
      </c>
      <c r="P72" s="96">
        <f>SUM(P60:P71)</f>
        <v>1412880</v>
      </c>
      <c r="Q72" s="96">
        <f>SUM(Q60:Q71)</f>
        <v>1473300</v>
      </c>
      <c r="R72" s="126">
        <f t="shared" ref="R72" si="6">SUM(R60:R71)</f>
        <v>1350880</v>
      </c>
      <c r="S72" s="126">
        <f>SUM(S60:S71)</f>
        <v>1424620</v>
      </c>
      <c r="T72" s="126">
        <f t="shared" ref="T72" si="7">SUM(T60:T71)</f>
        <v>1318000</v>
      </c>
      <c r="U72" s="126">
        <f>SUM(U60:U71)</f>
        <v>1416340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1" width="11.7109375" bestFit="1" customWidth="1"/>
  </cols>
  <sheetData>
    <row r="1" spans="1:21" x14ac:dyDescent="0.2">
      <c r="A1" s="121" t="s">
        <v>289</v>
      </c>
    </row>
    <row r="2" spans="1:21" x14ac:dyDescent="0.2">
      <c r="A2" s="24" t="s">
        <v>84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3403362</v>
      </c>
      <c r="Q5" s="117">
        <v>3752879</v>
      </c>
      <c r="R5" s="1">
        <v>3805675</v>
      </c>
      <c r="S5" s="1">
        <v>3685339</v>
      </c>
      <c r="T5" s="1">
        <v>4122316</v>
      </c>
      <c r="U5" s="1">
        <v>4420898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2814839</v>
      </c>
      <c r="Q6" s="117">
        <v>3010843</v>
      </c>
      <c r="R6" s="1">
        <v>3032146</v>
      </c>
      <c r="S6" s="1">
        <v>2833517</v>
      </c>
      <c r="T6" s="1">
        <v>3608160</v>
      </c>
      <c r="U6" s="1">
        <v>3554880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2782455</v>
      </c>
      <c r="Q7" s="117">
        <v>2703454</v>
      </c>
      <c r="R7" s="1">
        <v>2864737</v>
      </c>
      <c r="S7" s="1">
        <v>2766835</v>
      </c>
      <c r="T7" s="1">
        <v>3190075</v>
      </c>
      <c r="U7" s="1">
        <v>3504974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3144388</v>
      </c>
      <c r="Q8" s="117">
        <v>3262250</v>
      </c>
      <c r="R8" s="1">
        <v>2891354</v>
      </c>
      <c r="S8" s="1">
        <v>3510030</v>
      </c>
      <c r="T8" s="1">
        <v>4305243</v>
      </c>
      <c r="U8" s="1">
        <v>4233472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2767321</v>
      </c>
      <c r="Q9" s="117">
        <v>3251502</v>
      </c>
      <c r="R9" s="1">
        <v>2449154</v>
      </c>
      <c r="S9" s="1">
        <v>3218136</v>
      </c>
      <c r="T9" s="1">
        <v>3616672</v>
      </c>
      <c r="U9" s="1">
        <v>3851706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3118172</v>
      </c>
      <c r="Q10" s="117">
        <v>3305809</v>
      </c>
      <c r="R10" s="1">
        <v>2753232</v>
      </c>
      <c r="S10" s="1">
        <v>3399028</v>
      </c>
      <c r="T10" s="1">
        <v>4520347</v>
      </c>
      <c r="U10" s="1">
        <v>4287538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2978258</v>
      </c>
      <c r="Q11" s="117">
        <v>3198105</v>
      </c>
      <c r="R11" s="1">
        <v>3030735</v>
      </c>
      <c r="S11" s="1">
        <v>3652924</v>
      </c>
      <c r="T11" s="1">
        <v>4145708</v>
      </c>
      <c r="U11" s="1">
        <v>4616796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0</v>
      </c>
      <c r="P12" s="117">
        <v>3397328</v>
      </c>
      <c r="Q12" s="117">
        <v>3735107</v>
      </c>
      <c r="R12" s="1">
        <v>3363368</v>
      </c>
      <c r="S12" s="1">
        <v>4006297</v>
      </c>
      <c r="T12" s="1">
        <v>3994518</v>
      </c>
      <c r="U12" s="1">
        <v>4011780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6</v>
      </c>
      <c r="P13" s="117">
        <v>3381455</v>
      </c>
      <c r="Q13" s="117">
        <v>3655732</v>
      </c>
      <c r="R13" s="2">
        <v>3083254</v>
      </c>
      <c r="S13" s="1">
        <v>3600724</v>
      </c>
      <c r="T13" s="1">
        <v>4384842</v>
      </c>
      <c r="U13" s="1">
        <v>4549551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3057</v>
      </c>
      <c r="P14" s="117">
        <v>3348530</v>
      </c>
      <c r="Q14" s="117">
        <v>3650397</v>
      </c>
      <c r="R14" s="1">
        <v>3245226</v>
      </c>
      <c r="S14" s="1">
        <v>3993410</v>
      </c>
      <c r="T14" s="1">
        <v>4384361</v>
      </c>
      <c r="U14" s="1">
        <v>4593484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2828255</v>
      </c>
      <c r="P15" s="117">
        <v>3319534</v>
      </c>
      <c r="Q15" s="117">
        <v>3511282</v>
      </c>
      <c r="R15" s="1">
        <v>3143280</v>
      </c>
      <c r="S15" s="1">
        <v>3472065</v>
      </c>
      <c r="T15" s="1">
        <v>4005404</v>
      </c>
      <c r="U15" s="1">
        <v>3939377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3035100</v>
      </c>
      <c r="P16" s="95">
        <v>3343298</v>
      </c>
      <c r="Q16" s="95">
        <v>3271253</v>
      </c>
      <c r="R16" s="1">
        <v>3076916</v>
      </c>
      <c r="S16" s="1">
        <v>3537382</v>
      </c>
      <c r="T16" s="1">
        <v>4473740</v>
      </c>
      <c r="U16" s="1">
        <v>4059217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5866418</v>
      </c>
      <c r="P17" s="96">
        <f>SUM(P5:P16)</f>
        <v>37798940</v>
      </c>
      <c r="Q17" s="96">
        <f>SUM(Q5:Q16)</f>
        <v>40308613</v>
      </c>
      <c r="R17" s="126">
        <f t="shared" ref="R17" si="0">SUM(R5:R16)</f>
        <v>36739077</v>
      </c>
      <c r="S17" s="126">
        <f>SUM(S5:S16)</f>
        <v>41675687</v>
      </c>
      <c r="T17" s="126">
        <f t="shared" ref="T17" si="1">SUM(T5:T16)</f>
        <v>48751386</v>
      </c>
      <c r="U17" s="126">
        <f>SUM(U5:U16)</f>
        <v>49623673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361528</v>
      </c>
      <c r="Q24" s="117">
        <v>393179</v>
      </c>
      <c r="R24" s="1">
        <v>691947</v>
      </c>
      <c r="S24" s="1">
        <v>1071439</v>
      </c>
      <c r="T24" s="1">
        <v>459454</v>
      </c>
      <c r="U24" s="1">
        <v>435698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382067</v>
      </c>
      <c r="Q25" s="117">
        <v>440465</v>
      </c>
      <c r="R25" s="1">
        <v>349348</v>
      </c>
      <c r="S25" s="1">
        <v>220287</v>
      </c>
      <c r="T25" s="1">
        <v>461371</v>
      </c>
      <c r="U25" s="1">
        <v>475431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284053</v>
      </c>
      <c r="Q26" s="117">
        <v>303634</v>
      </c>
      <c r="R26" s="1">
        <v>299058</v>
      </c>
      <c r="S26" s="1">
        <v>269950</v>
      </c>
      <c r="T26" s="1">
        <v>357569</v>
      </c>
      <c r="U26" s="1">
        <v>305355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307955</v>
      </c>
      <c r="Q27" s="117">
        <v>359614</v>
      </c>
      <c r="R27" s="1">
        <v>352778</v>
      </c>
      <c r="S27" s="1">
        <v>312039</v>
      </c>
      <c r="T27" s="1">
        <v>365472</v>
      </c>
      <c r="U27" s="1">
        <v>356088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325940</v>
      </c>
      <c r="Q28" s="117">
        <v>640512</v>
      </c>
      <c r="R28" s="1">
        <v>514109</v>
      </c>
      <c r="S28" s="1">
        <v>164824</v>
      </c>
      <c r="T28" s="1">
        <v>488046</v>
      </c>
      <c r="U28" s="1">
        <v>-193937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338014</v>
      </c>
      <c r="Q29" s="117">
        <v>394667</v>
      </c>
      <c r="R29" s="1">
        <v>309443</v>
      </c>
      <c r="S29" s="1">
        <v>244068</v>
      </c>
      <c r="T29" s="1">
        <v>707383</v>
      </c>
      <c r="U29" s="1">
        <v>481504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617083</v>
      </c>
      <c r="Q30" s="117">
        <v>425551</v>
      </c>
      <c r="R30" s="1">
        <v>255790</v>
      </c>
      <c r="S30" s="1">
        <v>362708</v>
      </c>
      <c r="T30" s="1">
        <v>361010</v>
      </c>
      <c r="U30" s="1">
        <v>471144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12</v>
      </c>
      <c r="P31" s="117">
        <v>361300</v>
      </c>
      <c r="Q31" s="117">
        <v>521893</v>
      </c>
      <c r="R31" s="1">
        <v>300419</v>
      </c>
      <c r="S31" s="1">
        <v>574192</v>
      </c>
      <c r="T31" s="1">
        <v>359483</v>
      </c>
      <c r="U31" s="1">
        <v>387374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0</v>
      </c>
      <c r="P32" s="117">
        <v>360603</v>
      </c>
      <c r="Q32" s="117">
        <v>343012</v>
      </c>
      <c r="R32" s="2">
        <v>301794</v>
      </c>
      <c r="S32" s="1">
        <v>238575</v>
      </c>
      <c r="T32" s="1">
        <v>460931</v>
      </c>
      <c r="U32" s="1">
        <v>482765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67</v>
      </c>
      <c r="P33" s="117">
        <v>380589</v>
      </c>
      <c r="Q33" s="117">
        <v>488221</v>
      </c>
      <c r="R33" s="1">
        <v>334909</v>
      </c>
      <c r="S33" s="1">
        <v>368196</v>
      </c>
      <c r="T33" s="1">
        <v>368601</v>
      </c>
      <c r="U33" s="1">
        <v>482819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293183</v>
      </c>
      <c r="P34" s="117">
        <v>383622</v>
      </c>
      <c r="Q34" s="117">
        <v>529876</v>
      </c>
      <c r="R34" s="1">
        <v>611266</v>
      </c>
      <c r="S34" s="1">
        <v>397135</v>
      </c>
      <c r="T34" s="1">
        <v>385560</v>
      </c>
      <c r="U34" s="1">
        <v>475204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253167</v>
      </c>
      <c r="P35" s="95">
        <v>325499</v>
      </c>
      <c r="Q35" s="95">
        <v>335390</v>
      </c>
      <c r="R35" s="1">
        <v>318055</v>
      </c>
      <c r="S35" s="1">
        <v>337224</v>
      </c>
      <c r="T35" s="1">
        <v>382696</v>
      </c>
      <c r="U35" s="1">
        <v>285840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546429</v>
      </c>
      <c r="P36" s="96">
        <f>SUM(P24:P35)</f>
        <v>4428253</v>
      </c>
      <c r="Q36" s="96">
        <f>SUM(Q24:Q35)</f>
        <v>5176014</v>
      </c>
      <c r="R36" s="126">
        <f t="shared" ref="R36" si="2">SUM(R24:R35)</f>
        <v>4638916</v>
      </c>
      <c r="S36" s="126">
        <f>SUM(S24:S35)</f>
        <v>4560637</v>
      </c>
      <c r="T36" s="126">
        <f t="shared" ref="T36" si="3">SUM(T24:T35)</f>
        <v>5157576</v>
      </c>
      <c r="U36" s="126">
        <f>SUM(U24:U35)</f>
        <v>4445285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-93</v>
      </c>
      <c r="Q42" s="117">
        <v>-345</v>
      </c>
      <c r="R42" s="1">
        <v>-5885</v>
      </c>
      <c r="S42" s="1">
        <v>-13947</v>
      </c>
      <c r="T42" s="1">
        <v>-107189</v>
      </c>
      <c r="U42" s="1">
        <v>-10475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-22</v>
      </c>
      <c r="Q43" s="117">
        <v>-384</v>
      </c>
      <c r="R43" s="1">
        <v>-420059</v>
      </c>
      <c r="S43" s="1">
        <v>-53591</v>
      </c>
      <c r="T43" s="1">
        <v>-3288</v>
      </c>
      <c r="U43" s="1">
        <v>-1065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-10</v>
      </c>
      <c r="Q44" s="117">
        <v>-689</v>
      </c>
      <c r="R44" s="1">
        <v>-43169</v>
      </c>
      <c r="S44" s="1">
        <v>-23009</v>
      </c>
      <c r="T44" s="1">
        <v>-110763</v>
      </c>
      <c r="U44" s="1">
        <v>-59408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-79</v>
      </c>
      <c r="Q45" s="117">
        <v>-235361</v>
      </c>
      <c r="R45" s="1">
        <v>-82516</v>
      </c>
      <c r="S45" s="1">
        <v>-8443</v>
      </c>
      <c r="T45" s="1">
        <v>-509960</v>
      </c>
      <c r="U45" s="1">
        <v>-34212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-161</v>
      </c>
      <c r="Q46" s="117">
        <v>-1834</v>
      </c>
      <c r="R46" s="1">
        <v>-109544</v>
      </c>
      <c r="S46" s="1">
        <v>-2054</v>
      </c>
      <c r="T46" s="1">
        <v>-67358</v>
      </c>
      <c r="U46" s="1">
        <v>-692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-207</v>
      </c>
      <c r="Q47" s="117">
        <v>-1788</v>
      </c>
      <c r="R47" s="1">
        <v>-6765</v>
      </c>
      <c r="S47" s="1">
        <v>-137228</v>
      </c>
      <c r="T47" s="1">
        <v>-10151</v>
      </c>
      <c r="U47" s="1">
        <v>-14752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-340</v>
      </c>
      <c r="Q48" s="117">
        <v>-2438</v>
      </c>
      <c r="R48" s="1">
        <v>-104207</v>
      </c>
      <c r="S48" s="1">
        <v>-734021</v>
      </c>
      <c r="T48" s="1">
        <v>-57489</v>
      </c>
      <c r="U48" s="1">
        <v>-49308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-2009</v>
      </c>
      <c r="Q49" s="117">
        <v>-1212</v>
      </c>
      <c r="R49" s="1">
        <v>-90404</v>
      </c>
      <c r="S49" s="1">
        <v>-3289</v>
      </c>
      <c r="T49" s="1">
        <v>-2560</v>
      </c>
      <c r="U49" s="1">
        <v>-50758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-166</v>
      </c>
      <c r="Q50" s="117">
        <v>-4128</v>
      </c>
      <c r="R50" s="2">
        <v>-17140</v>
      </c>
      <c r="S50" s="1">
        <v>-5597</v>
      </c>
      <c r="T50" s="1">
        <v>-14098</v>
      </c>
      <c r="U50" s="1">
        <v>-984929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-3362</v>
      </c>
      <c r="Q51" s="117">
        <v>-198691</v>
      </c>
      <c r="R51" s="1">
        <v>-58291</v>
      </c>
      <c r="S51" s="1">
        <v>-19731</v>
      </c>
      <c r="T51" s="1">
        <v>-103887</v>
      </c>
      <c r="U51" s="1">
        <v>-19868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-7</v>
      </c>
      <c r="P52" s="117">
        <v>-485</v>
      </c>
      <c r="Q52" s="117">
        <v>-122285</v>
      </c>
      <c r="R52" s="1">
        <v>-89553</v>
      </c>
      <c r="S52" s="1">
        <v>-270294</v>
      </c>
      <c r="T52" s="1">
        <v>-9434</v>
      </c>
      <c r="U52" s="1">
        <v>-1172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0</v>
      </c>
      <c r="P53" s="95">
        <v>-7712</v>
      </c>
      <c r="Q53" s="95">
        <v>-17581</v>
      </c>
      <c r="R53" s="1">
        <v>-15962</v>
      </c>
      <c r="S53" s="1">
        <v>-29053</v>
      </c>
      <c r="T53" s="1">
        <v>-154683</v>
      </c>
      <c r="U53" s="1">
        <v>-1977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-7</v>
      </c>
      <c r="P54" s="96">
        <f>SUM(P42:P53)</f>
        <v>-14646</v>
      </c>
      <c r="Q54" s="96">
        <f>SUM(Q42:Q53)</f>
        <v>-586736</v>
      </c>
      <c r="R54" s="126">
        <f t="shared" ref="R54" si="4">SUM(R42:R53)</f>
        <v>-1043495</v>
      </c>
      <c r="S54" s="126">
        <f>SUM(S42:S53)</f>
        <v>-1300257</v>
      </c>
      <c r="T54" s="126">
        <f t="shared" ref="T54" si="5">SUM(T42:T53)</f>
        <v>-1150860</v>
      </c>
      <c r="U54" s="126">
        <f>SUM(U42:U53)</f>
        <v>-1228616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99040</v>
      </c>
      <c r="Q60" s="117">
        <v>108820</v>
      </c>
      <c r="R60" s="1">
        <v>102680</v>
      </c>
      <c r="S60" s="1">
        <v>105300</v>
      </c>
      <c r="T60" s="1">
        <v>92340</v>
      </c>
      <c r="U60" s="1">
        <v>94540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81960</v>
      </c>
      <c r="Q61" s="117">
        <v>89280</v>
      </c>
      <c r="R61" s="113">
        <v>95100</v>
      </c>
      <c r="S61" s="1">
        <v>88380</v>
      </c>
      <c r="T61" s="1">
        <v>94260</v>
      </c>
      <c r="U61" s="1">
        <v>81620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82380</v>
      </c>
      <c r="Q62" s="117">
        <v>82360</v>
      </c>
      <c r="R62" s="113">
        <v>108180</v>
      </c>
      <c r="S62" s="1">
        <v>88420</v>
      </c>
      <c r="T62" s="1">
        <v>170040</v>
      </c>
      <c r="U62" s="1">
        <v>81540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116900</v>
      </c>
      <c r="Q63" s="117">
        <v>126640</v>
      </c>
      <c r="R63" s="1">
        <v>75320</v>
      </c>
      <c r="S63" s="1">
        <v>123660</v>
      </c>
      <c r="T63" s="1">
        <v>104860</v>
      </c>
      <c r="U63" s="1">
        <v>146140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99160</v>
      </c>
      <c r="Q64" s="117">
        <v>101020</v>
      </c>
      <c r="R64" s="117">
        <v>60860</v>
      </c>
      <c r="S64" s="1">
        <v>105760</v>
      </c>
      <c r="T64" s="1">
        <v>87640</v>
      </c>
      <c r="U64" s="1">
        <v>89660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115580</v>
      </c>
      <c r="Q65" s="117">
        <v>114120</v>
      </c>
      <c r="R65" s="1">
        <v>93720</v>
      </c>
      <c r="S65" s="1">
        <v>113600</v>
      </c>
      <c r="T65" s="1">
        <v>101640</v>
      </c>
      <c r="U65" s="1">
        <v>99580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107160</v>
      </c>
      <c r="Q66" s="117">
        <v>112520</v>
      </c>
      <c r="R66" s="1">
        <v>109200</v>
      </c>
      <c r="S66" s="1">
        <v>106620</v>
      </c>
      <c r="T66" s="1">
        <v>121140</v>
      </c>
      <c r="U66" s="1">
        <v>112720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126900</v>
      </c>
      <c r="Q67" s="117">
        <v>113940</v>
      </c>
      <c r="R67" s="1">
        <v>104980</v>
      </c>
      <c r="S67" s="1">
        <v>115800</v>
      </c>
      <c r="T67" s="1">
        <v>75280</v>
      </c>
      <c r="U67" s="1">
        <v>110720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120920</v>
      </c>
      <c r="Q68" s="117">
        <v>116660</v>
      </c>
      <c r="R68" s="2">
        <v>111720</v>
      </c>
      <c r="S68" s="1">
        <v>79540</v>
      </c>
      <c r="T68" s="1">
        <v>95860</v>
      </c>
      <c r="U68" s="1">
        <v>96000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116500</v>
      </c>
      <c r="Q69" s="117">
        <v>121520</v>
      </c>
      <c r="R69" s="1">
        <v>111880</v>
      </c>
      <c r="S69" s="1">
        <v>108680</v>
      </c>
      <c r="T69" s="1">
        <v>99200</v>
      </c>
      <c r="U69" s="1">
        <v>99620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93300</v>
      </c>
      <c r="P70" s="117">
        <v>109460</v>
      </c>
      <c r="Q70" s="117">
        <v>112420</v>
      </c>
      <c r="R70" s="1">
        <v>102760</v>
      </c>
      <c r="S70" s="1">
        <v>88500</v>
      </c>
      <c r="T70" s="1">
        <v>86580</v>
      </c>
      <c r="U70" s="1">
        <v>85820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84180</v>
      </c>
      <c r="P71" s="95">
        <v>88380</v>
      </c>
      <c r="Q71" s="95">
        <v>103600</v>
      </c>
      <c r="R71" s="1">
        <v>112000</v>
      </c>
      <c r="S71" s="1">
        <v>98420</v>
      </c>
      <c r="T71" s="1">
        <v>94860</v>
      </c>
      <c r="U71" s="1">
        <v>91340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0</v>
      </c>
      <c r="O72" s="96">
        <f>SUM(O60:O71)</f>
        <v>177480</v>
      </c>
      <c r="P72" s="96">
        <f>SUM(P60:P71)</f>
        <v>1264340</v>
      </c>
      <c r="Q72" s="96">
        <f>SUM(Q60:Q71)</f>
        <v>1302900</v>
      </c>
      <c r="R72" s="126">
        <f t="shared" ref="R72" si="6">SUM(R60:R71)</f>
        <v>1188400</v>
      </c>
      <c r="S72" s="126">
        <f>SUM(S60:S71)</f>
        <v>1222680</v>
      </c>
      <c r="T72" s="126">
        <f t="shared" ref="T72" si="7">SUM(T60:T71)</f>
        <v>1223700</v>
      </c>
      <c r="U72" s="126">
        <f>SUM(U60:U71)</f>
        <v>1189300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21" width="11.7109375" bestFit="1" customWidth="1"/>
  </cols>
  <sheetData>
    <row r="1" spans="1:21" x14ac:dyDescent="0.2">
      <c r="A1" s="121" t="s">
        <v>296</v>
      </c>
    </row>
    <row r="2" spans="1:21" x14ac:dyDescent="0.2">
      <c r="A2" s="24" t="s">
        <v>84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818693</v>
      </c>
      <c r="Q5" s="117">
        <v>885898</v>
      </c>
      <c r="R5" s="1">
        <v>929970</v>
      </c>
      <c r="S5" s="1">
        <v>1009462</v>
      </c>
      <c r="T5" s="1">
        <v>2105695</v>
      </c>
      <c r="U5" s="1">
        <v>2372184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628794</v>
      </c>
      <c r="Q6" s="117">
        <v>687754</v>
      </c>
      <c r="R6" s="1">
        <v>700594</v>
      </c>
      <c r="S6" s="1">
        <v>765169</v>
      </c>
      <c r="T6" s="1">
        <v>1804877</v>
      </c>
      <c r="U6" s="1">
        <v>1837654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599519</v>
      </c>
      <c r="Q7" s="117">
        <v>602449</v>
      </c>
      <c r="R7" s="1">
        <v>671841</v>
      </c>
      <c r="S7" s="1">
        <v>750710</v>
      </c>
      <c r="T7" s="1">
        <v>1766978</v>
      </c>
      <c r="U7" s="1">
        <v>1743603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696386</v>
      </c>
      <c r="Q8" s="117">
        <v>717311</v>
      </c>
      <c r="R8" s="1">
        <v>706246</v>
      </c>
      <c r="S8" s="1">
        <v>947746</v>
      </c>
      <c r="T8" s="1">
        <v>2094369</v>
      </c>
      <c r="U8" s="1">
        <v>2115053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665318</v>
      </c>
      <c r="Q9" s="117">
        <v>728275</v>
      </c>
      <c r="R9" s="1">
        <v>686860</v>
      </c>
      <c r="S9" s="1">
        <v>910446</v>
      </c>
      <c r="T9" s="1">
        <v>1924524</v>
      </c>
      <c r="U9" s="1">
        <v>2034900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818749</v>
      </c>
      <c r="Q10" s="117">
        <v>838915</v>
      </c>
      <c r="R10" s="1">
        <v>827911</v>
      </c>
      <c r="S10" s="1">
        <v>989532</v>
      </c>
      <c r="T10" s="1">
        <v>2581057</v>
      </c>
      <c r="U10" s="1">
        <v>2397361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736636</v>
      </c>
      <c r="Q11" s="117">
        <v>808903</v>
      </c>
      <c r="R11" s="1">
        <v>819527</v>
      </c>
      <c r="S11" s="1">
        <v>1008250</v>
      </c>
      <c r="T11" s="1">
        <v>2265005</v>
      </c>
      <c r="U11" s="1">
        <v>2557649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951180</v>
      </c>
      <c r="Q12" s="117">
        <v>931177</v>
      </c>
      <c r="R12" s="1">
        <v>1016059</v>
      </c>
      <c r="S12" s="1">
        <v>1137669</v>
      </c>
      <c r="T12" s="1">
        <v>2254342</v>
      </c>
      <c r="U12" s="1">
        <v>2309554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826208</v>
      </c>
      <c r="Q13" s="117">
        <v>847927</v>
      </c>
      <c r="R13" s="2">
        <v>873790</v>
      </c>
      <c r="S13" s="1">
        <v>960323</v>
      </c>
      <c r="T13" s="1">
        <v>2347571</v>
      </c>
      <c r="U13" s="1">
        <v>2312183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149</v>
      </c>
      <c r="P14" s="117">
        <v>798372</v>
      </c>
      <c r="Q14" s="117">
        <v>840885</v>
      </c>
      <c r="R14" s="1">
        <v>906307</v>
      </c>
      <c r="S14" s="1">
        <v>1060924</v>
      </c>
      <c r="T14" s="1">
        <v>2270433</v>
      </c>
      <c r="U14" s="1">
        <v>2274836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681357</v>
      </c>
      <c r="P15" s="117">
        <v>799352</v>
      </c>
      <c r="Q15" s="117">
        <v>798805</v>
      </c>
      <c r="R15" s="1">
        <v>840818</v>
      </c>
      <c r="S15" s="1">
        <v>1866010</v>
      </c>
      <c r="T15" s="1">
        <v>2213016</v>
      </c>
      <c r="U15" s="1">
        <v>2082154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724183</v>
      </c>
      <c r="P16" s="95">
        <v>787770</v>
      </c>
      <c r="Q16" s="95">
        <v>800739</v>
      </c>
      <c r="R16" s="1">
        <v>892600</v>
      </c>
      <c r="S16" s="1">
        <v>1861938</v>
      </c>
      <c r="T16" s="1">
        <v>2470410</v>
      </c>
      <c r="U16" s="1">
        <v>2089630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1405689</v>
      </c>
      <c r="P17" s="96">
        <f>SUM(P5:P16)</f>
        <v>9126977</v>
      </c>
      <c r="Q17" s="96">
        <f>SUM(Q5:Q16)</f>
        <v>9489038</v>
      </c>
      <c r="R17" s="126">
        <f t="shared" ref="R17" si="0">SUM(R5:R16)</f>
        <v>9872523</v>
      </c>
      <c r="S17" s="126">
        <f>SUM(S5:S16)</f>
        <v>13268179</v>
      </c>
      <c r="T17" s="126">
        <f t="shared" ref="T17" si="1">SUM(T5:T16)</f>
        <v>26098277</v>
      </c>
      <c r="U17" s="126">
        <f>SUM(U5:U16)</f>
        <v>26126761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  <c r="S19" t="s">
        <v>459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54376</v>
      </c>
      <c r="Q24" s="117">
        <v>80112</v>
      </c>
      <c r="R24" s="1">
        <v>99825</v>
      </c>
      <c r="S24" s="1">
        <v>94748</v>
      </c>
      <c r="T24" s="1">
        <v>281645</v>
      </c>
      <c r="U24" s="1">
        <v>235050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58883</v>
      </c>
      <c r="Q25" s="117">
        <v>86442</v>
      </c>
      <c r="R25" s="1">
        <v>61615</v>
      </c>
      <c r="S25" s="1">
        <v>52409</v>
      </c>
      <c r="T25" s="1">
        <v>200547</v>
      </c>
      <c r="U25" s="1">
        <v>127776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43510</v>
      </c>
      <c r="Q26" s="117">
        <v>57082</v>
      </c>
      <c r="R26" s="1">
        <v>67134</v>
      </c>
      <c r="S26" s="1">
        <v>68050</v>
      </c>
      <c r="T26" s="1">
        <v>124614</v>
      </c>
      <c r="U26" s="1">
        <v>157397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52658</v>
      </c>
      <c r="Q27" s="117">
        <v>78859</v>
      </c>
      <c r="R27" s="1">
        <v>58656</v>
      </c>
      <c r="S27" s="1">
        <v>54299</v>
      </c>
      <c r="T27" s="1">
        <v>205342</v>
      </c>
      <c r="U27" s="1">
        <v>152783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40352</v>
      </c>
      <c r="Q28" s="117">
        <v>62835</v>
      </c>
      <c r="R28" s="1">
        <v>52066</v>
      </c>
      <c r="S28" s="1">
        <v>98976</v>
      </c>
      <c r="T28" s="1">
        <v>169435</v>
      </c>
      <c r="U28" s="1">
        <v>224368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52401</v>
      </c>
      <c r="Q29" s="117">
        <v>63764</v>
      </c>
      <c r="R29" s="1">
        <v>53275</v>
      </c>
      <c r="S29" s="1">
        <v>74200</v>
      </c>
      <c r="T29" s="1">
        <v>156980</v>
      </c>
      <c r="U29" s="1">
        <v>171640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52621</v>
      </c>
      <c r="Q30" s="117">
        <v>68633</v>
      </c>
      <c r="R30" s="1">
        <v>48369</v>
      </c>
      <c r="S30" s="1">
        <v>65917</v>
      </c>
      <c r="T30" s="1">
        <v>322188</v>
      </c>
      <c r="U30" s="1">
        <v>258205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65215</v>
      </c>
      <c r="Q31" s="117">
        <v>92617</v>
      </c>
      <c r="R31" s="1">
        <v>94529</v>
      </c>
      <c r="S31" s="1">
        <v>114294</v>
      </c>
      <c r="T31" s="1">
        <v>163720</v>
      </c>
      <c r="U31" s="1">
        <v>205068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72046</v>
      </c>
      <c r="Q32" s="117">
        <v>62096</v>
      </c>
      <c r="R32" s="2">
        <v>62602</v>
      </c>
      <c r="S32" s="1">
        <v>59848</v>
      </c>
      <c r="T32" s="1">
        <v>197115</v>
      </c>
      <c r="U32" s="1">
        <v>167294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0</v>
      </c>
      <c r="P33" s="117">
        <v>64609</v>
      </c>
      <c r="Q33" s="117">
        <v>79636</v>
      </c>
      <c r="R33" s="1">
        <v>59575</v>
      </c>
      <c r="S33" s="1">
        <v>82575</v>
      </c>
      <c r="T33" s="1">
        <v>132494</v>
      </c>
      <c r="U33" s="1">
        <v>217044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40190</v>
      </c>
      <c r="P34" s="117">
        <v>63691</v>
      </c>
      <c r="Q34" s="117">
        <v>71000</v>
      </c>
      <c r="R34" s="1">
        <v>80751</v>
      </c>
      <c r="S34" s="1">
        <v>164848</v>
      </c>
      <c r="T34" s="1">
        <v>153124</v>
      </c>
      <c r="U34" s="1">
        <v>175058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41741</v>
      </c>
      <c r="P35" s="95">
        <v>63105</v>
      </c>
      <c r="Q35" s="95">
        <v>63979</v>
      </c>
      <c r="R35" s="1">
        <v>58828</v>
      </c>
      <c r="S35" s="1">
        <v>125373</v>
      </c>
      <c r="T35" s="1">
        <v>169578</v>
      </c>
      <c r="U35" s="1">
        <v>188369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81931</v>
      </c>
      <c r="P36" s="96">
        <f>SUM(P24:P35)</f>
        <v>683467</v>
      </c>
      <c r="Q36" s="96">
        <f>SUM(Q24:Q35)</f>
        <v>867055</v>
      </c>
      <c r="R36" s="126">
        <f t="shared" ref="R36" si="2">SUM(R24:R35)</f>
        <v>797225</v>
      </c>
      <c r="S36" s="126">
        <f>SUM(S24:S35)</f>
        <v>1055537</v>
      </c>
      <c r="T36" s="126">
        <f t="shared" ref="T36" si="3">SUM(T24:T35)</f>
        <v>2276782</v>
      </c>
      <c r="U36" s="126">
        <f>SUM(U24:U35)</f>
        <v>2280052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-309</v>
      </c>
      <c r="R42" s="1">
        <v>-2027</v>
      </c>
      <c r="S42" s="117">
        <v>-2</v>
      </c>
      <c r="T42" s="1">
        <v>-125454</v>
      </c>
      <c r="U42" s="1">
        <v>-1236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-2</v>
      </c>
      <c r="Q43" s="117">
        <v>-605</v>
      </c>
      <c r="R43" s="1">
        <v>-2686</v>
      </c>
      <c r="S43" s="1">
        <v>-1632</v>
      </c>
      <c r="T43" s="1">
        <v>-69</v>
      </c>
      <c r="U43" s="1">
        <v>-13292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-1305</v>
      </c>
      <c r="R44" s="1">
        <v>-4669</v>
      </c>
      <c r="S44" s="1">
        <v>-3904</v>
      </c>
      <c r="T44" s="1">
        <v>-21904</v>
      </c>
      <c r="U44" s="1">
        <v>-72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-30</v>
      </c>
      <c r="Q45" s="117">
        <v>-239</v>
      </c>
      <c r="R45" s="1">
        <v>-920</v>
      </c>
      <c r="S45" s="1">
        <v>-94974</v>
      </c>
      <c r="T45" s="1">
        <v>-356</v>
      </c>
      <c r="U45" s="1">
        <v>-16229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-416</v>
      </c>
      <c r="Q46" s="117">
        <v>0</v>
      </c>
      <c r="R46" s="1">
        <v>-7558</v>
      </c>
      <c r="S46" s="117">
        <v>-298</v>
      </c>
      <c r="T46" s="1">
        <v>-104</v>
      </c>
      <c r="U46" s="117">
        <v>-391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-88</v>
      </c>
      <c r="R47" s="1">
        <v>-546</v>
      </c>
      <c r="S47" s="117">
        <v>-51</v>
      </c>
      <c r="T47" s="1">
        <v>-446</v>
      </c>
      <c r="U47" s="1">
        <v>-2741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-396</v>
      </c>
      <c r="R48" s="1">
        <v>-776</v>
      </c>
      <c r="S48" s="1">
        <v>-36791</v>
      </c>
      <c r="T48" s="1">
        <v>-240</v>
      </c>
      <c r="U48" s="1">
        <v>-888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-97</v>
      </c>
      <c r="Q49" s="117">
        <v>-185</v>
      </c>
      <c r="R49" s="1">
        <v>-7858</v>
      </c>
      <c r="S49" s="117">
        <v>-9</v>
      </c>
      <c r="T49" s="1">
        <v>-41</v>
      </c>
      <c r="U49" s="1">
        <v>-3737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-10</v>
      </c>
      <c r="Q50" s="117">
        <v>-1375</v>
      </c>
      <c r="R50" s="117">
        <v>-312</v>
      </c>
      <c r="S50" s="1">
        <v>-7030</v>
      </c>
      <c r="T50" s="1">
        <v>-17</v>
      </c>
      <c r="U50" s="1">
        <v>-691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-182</v>
      </c>
      <c r="Q51" s="117">
        <v>-696</v>
      </c>
      <c r="R51" s="1">
        <v>-1835</v>
      </c>
      <c r="S51" s="117">
        <v>-136</v>
      </c>
      <c r="T51" s="1">
        <v>-197342</v>
      </c>
      <c r="U51" s="1">
        <v>-1191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-4</v>
      </c>
      <c r="Q52" s="117">
        <v>-2164</v>
      </c>
      <c r="R52" s="1">
        <v>-124600</v>
      </c>
      <c r="S52" s="1">
        <v>-6714</v>
      </c>
      <c r="T52" s="1">
        <v>-758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95">
        <v>-37</v>
      </c>
      <c r="Q53" s="95">
        <v>-4611</v>
      </c>
      <c r="R53" s="1">
        <v>-1049</v>
      </c>
      <c r="S53" s="162">
        <v>-66</v>
      </c>
      <c r="T53" s="1">
        <v>-81219</v>
      </c>
      <c r="U53" s="1">
        <v>-212419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-778</v>
      </c>
      <c r="Q54" s="96">
        <f>SUM(Q42:Q53)</f>
        <v>-11973</v>
      </c>
      <c r="R54" s="126">
        <f t="shared" ref="R54" si="4">SUM(R42:R53)</f>
        <v>-154836</v>
      </c>
      <c r="S54" s="126">
        <f>SUM(S42:S53)</f>
        <v>-151607</v>
      </c>
      <c r="T54" s="126">
        <f t="shared" ref="T54" si="5">SUM(T42:T53)</f>
        <v>-427950</v>
      </c>
      <c r="U54" s="126">
        <f>SUM(U42:U53)</f>
        <v>-252887</v>
      </c>
    </row>
    <row r="55" spans="1:21" x14ac:dyDescent="0.2">
      <c r="F55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36000</v>
      </c>
      <c r="Q60" s="117">
        <v>33200</v>
      </c>
      <c r="R60" s="117">
        <v>36520</v>
      </c>
      <c r="S60" s="1">
        <v>35160</v>
      </c>
      <c r="T60" s="1">
        <v>33440</v>
      </c>
      <c r="U60" s="1">
        <v>27300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32540</v>
      </c>
      <c r="Q61" s="117">
        <v>33740</v>
      </c>
      <c r="R61" s="113">
        <v>31860</v>
      </c>
      <c r="S61" s="1">
        <v>41180</v>
      </c>
      <c r="T61" s="1">
        <v>24080</v>
      </c>
      <c r="U61" s="1">
        <v>26840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26980</v>
      </c>
      <c r="Q62" s="117">
        <v>28600</v>
      </c>
      <c r="R62" s="113">
        <v>24040</v>
      </c>
      <c r="S62" s="1">
        <v>24580</v>
      </c>
      <c r="T62" s="1">
        <v>28880</v>
      </c>
      <c r="U62" s="1">
        <v>24740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43680</v>
      </c>
      <c r="Q63" s="117">
        <v>44160</v>
      </c>
      <c r="R63" s="117">
        <v>31580</v>
      </c>
      <c r="S63" s="1">
        <v>51080</v>
      </c>
      <c r="T63" s="1">
        <v>32220</v>
      </c>
      <c r="U63" s="1">
        <v>28240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38400</v>
      </c>
      <c r="Q64" s="117">
        <v>40260</v>
      </c>
      <c r="R64" s="117">
        <v>20500</v>
      </c>
      <c r="S64" s="1">
        <v>34200</v>
      </c>
      <c r="T64" s="1">
        <v>27580</v>
      </c>
      <c r="U64" s="1">
        <v>25340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38740</v>
      </c>
      <c r="Q65" s="117">
        <v>34660</v>
      </c>
      <c r="R65" s="113">
        <v>31100</v>
      </c>
      <c r="S65" s="117">
        <v>31560</v>
      </c>
      <c r="T65" s="1">
        <v>25120</v>
      </c>
      <c r="U65" s="1">
        <v>27200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43020</v>
      </c>
      <c r="Q66" s="117">
        <v>38800</v>
      </c>
      <c r="R66" s="1">
        <v>37660</v>
      </c>
      <c r="S66" s="1">
        <v>38420</v>
      </c>
      <c r="T66" s="1">
        <v>29920</v>
      </c>
      <c r="U66" s="1">
        <v>31920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33300</v>
      </c>
      <c r="Q67" s="117">
        <v>38560</v>
      </c>
      <c r="R67" s="1">
        <v>35820</v>
      </c>
      <c r="S67" s="1">
        <v>34580</v>
      </c>
      <c r="T67" s="1">
        <v>16820</v>
      </c>
      <c r="U67" s="1">
        <v>24040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26880</v>
      </c>
      <c r="Q68" s="117">
        <v>32900</v>
      </c>
      <c r="R68" s="2">
        <v>28700</v>
      </c>
      <c r="S68" s="1">
        <v>34100</v>
      </c>
      <c r="T68" s="1">
        <v>23640</v>
      </c>
      <c r="U68" s="1">
        <v>23040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36340</v>
      </c>
      <c r="Q69" s="117">
        <v>36460</v>
      </c>
      <c r="R69" s="1">
        <v>33400</v>
      </c>
      <c r="S69" s="1">
        <v>29020</v>
      </c>
      <c r="T69" s="1">
        <v>27120</v>
      </c>
      <c r="U69" s="1">
        <v>30980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25280</v>
      </c>
      <c r="P70" s="117">
        <v>31080</v>
      </c>
      <c r="Q70" s="117">
        <v>29120</v>
      </c>
      <c r="R70" s="1">
        <v>22880</v>
      </c>
      <c r="S70" s="1">
        <v>26200</v>
      </c>
      <c r="T70" s="1">
        <v>19420</v>
      </c>
      <c r="U70" s="1">
        <v>24280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27020</v>
      </c>
      <c r="P71" s="95">
        <v>33020</v>
      </c>
      <c r="Q71" s="95">
        <v>31220</v>
      </c>
      <c r="R71" s="1">
        <v>31500</v>
      </c>
      <c r="S71" s="1">
        <v>20480</v>
      </c>
      <c r="T71" s="1">
        <v>18500</v>
      </c>
      <c r="U71" s="1">
        <v>18860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0</v>
      </c>
      <c r="O72" s="96">
        <f>SUM(O60:O71)</f>
        <v>52300</v>
      </c>
      <c r="P72" s="96">
        <f>SUM(P60:P71)</f>
        <v>419980</v>
      </c>
      <c r="Q72" s="96">
        <f>SUM(Q60:Q71)</f>
        <v>421680</v>
      </c>
      <c r="R72" s="126">
        <f t="shared" ref="R72" si="6">SUM(R60:R71)</f>
        <v>365560</v>
      </c>
      <c r="S72" s="126">
        <f>SUM(S60:S71)</f>
        <v>400560</v>
      </c>
      <c r="T72" s="126">
        <f t="shared" ref="T72" si="7">SUM(T60:T71)</f>
        <v>306740</v>
      </c>
      <c r="U72" s="126">
        <f>SUM(U60:U71)</f>
        <v>312780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honeticPr fontId="18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1" width="11.7109375" bestFit="1" customWidth="1"/>
  </cols>
  <sheetData>
    <row r="1" spans="1:21" x14ac:dyDescent="0.2">
      <c r="A1" s="121" t="s">
        <v>285</v>
      </c>
    </row>
    <row r="2" spans="1:21" x14ac:dyDescent="0.2">
      <c r="A2" s="24" t="s">
        <v>84</v>
      </c>
      <c r="B2" s="6">
        <v>2.5000000000000001E-3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912390</v>
      </c>
      <c r="Q5" s="117">
        <v>1001604</v>
      </c>
      <c r="R5" s="1">
        <v>1077717</v>
      </c>
      <c r="S5" s="1">
        <v>1203651</v>
      </c>
      <c r="T5" s="1">
        <v>1197456</v>
      </c>
      <c r="U5" s="1">
        <v>1323984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749197</v>
      </c>
      <c r="Q6" s="117">
        <v>780360</v>
      </c>
      <c r="R6" s="1">
        <v>846438</v>
      </c>
      <c r="S6" s="1">
        <v>932758</v>
      </c>
      <c r="T6" s="1">
        <v>1028947</v>
      </c>
      <c r="U6" s="1">
        <v>1060175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685732</v>
      </c>
      <c r="Q7" s="117">
        <v>723522</v>
      </c>
      <c r="R7" s="1">
        <v>796512</v>
      </c>
      <c r="S7" s="1">
        <v>903115</v>
      </c>
      <c r="T7" s="1">
        <v>992493</v>
      </c>
      <c r="U7" s="1">
        <v>1002778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826900</v>
      </c>
      <c r="Q8" s="117">
        <v>871289</v>
      </c>
      <c r="R8" s="1">
        <v>881440</v>
      </c>
      <c r="S8" s="1">
        <v>1171795</v>
      </c>
      <c r="T8" s="1">
        <v>1267832</v>
      </c>
      <c r="U8" s="1">
        <v>1233285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795716</v>
      </c>
      <c r="Q9" s="117">
        <v>896742</v>
      </c>
      <c r="R9" s="1">
        <v>865232</v>
      </c>
      <c r="S9" s="1">
        <v>1093360</v>
      </c>
      <c r="T9" s="1">
        <v>1108499</v>
      </c>
      <c r="U9" s="1">
        <v>1154354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958110</v>
      </c>
      <c r="Q10" s="117">
        <v>996328</v>
      </c>
      <c r="R10" s="1">
        <v>1033117</v>
      </c>
      <c r="S10" s="1">
        <v>1153971</v>
      </c>
      <c r="T10" s="1">
        <v>1502934</v>
      </c>
      <c r="U10" s="1">
        <v>1477204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>
        <v>0</v>
      </c>
      <c r="P11" s="117">
        <v>826085</v>
      </c>
      <c r="Q11" s="117">
        <v>925038</v>
      </c>
      <c r="R11" s="1">
        <v>1006110</v>
      </c>
      <c r="S11" s="1">
        <v>1159428</v>
      </c>
      <c r="T11" s="1">
        <v>1295702</v>
      </c>
      <c r="U11" s="1">
        <v>1439329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>
        <v>0</v>
      </c>
      <c r="P12" s="117">
        <v>1066250</v>
      </c>
      <c r="Q12" s="117">
        <v>1090077</v>
      </c>
      <c r="R12" s="1">
        <v>1180618</v>
      </c>
      <c r="S12" s="1">
        <v>1288163</v>
      </c>
      <c r="T12" s="1">
        <v>1240126</v>
      </c>
      <c r="U12" s="1">
        <v>1257124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>
        <v>14</v>
      </c>
      <c r="P13" s="117">
        <v>937821</v>
      </c>
      <c r="Q13" s="117">
        <v>1016436</v>
      </c>
      <c r="R13" s="2">
        <v>1043765</v>
      </c>
      <c r="S13" s="1">
        <v>1117165</v>
      </c>
      <c r="T13" s="1">
        <v>1291104</v>
      </c>
      <c r="U13" s="1">
        <v>1292275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352</v>
      </c>
      <c r="P14" s="117">
        <v>898433</v>
      </c>
      <c r="Q14" s="117">
        <v>988481</v>
      </c>
      <c r="R14" s="1">
        <v>1071318</v>
      </c>
      <c r="S14" s="1">
        <v>1204362</v>
      </c>
      <c r="T14" s="1">
        <v>1264468</v>
      </c>
      <c r="U14" s="1">
        <v>1293287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781505</v>
      </c>
      <c r="P15" s="117">
        <v>923714</v>
      </c>
      <c r="Q15" s="117">
        <v>975579</v>
      </c>
      <c r="R15" s="1">
        <v>998879</v>
      </c>
      <c r="S15" s="1">
        <v>1113090</v>
      </c>
      <c r="T15" s="1">
        <v>1182561</v>
      </c>
      <c r="U15" s="1">
        <v>1189484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834628</v>
      </c>
      <c r="P16" s="95">
        <v>923252</v>
      </c>
      <c r="Q16" s="95">
        <v>947268</v>
      </c>
      <c r="R16" s="1">
        <v>1042756</v>
      </c>
      <c r="S16" s="1">
        <v>1131113</v>
      </c>
      <c r="T16" s="1">
        <v>1408473</v>
      </c>
      <c r="U16" s="1">
        <v>1205799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1616499</v>
      </c>
      <c r="P17" s="96">
        <f>SUM(P5:P16)</f>
        <v>10503600</v>
      </c>
      <c r="Q17" s="96">
        <f>SUM(Q5:Q16)</f>
        <v>11212724</v>
      </c>
      <c r="R17" s="126">
        <f t="shared" ref="R17" si="0">SUM(R5:R16)</f>
        <v>11843902</v>
      </c>
      <c r="S17" s="126">
        <f>SUM(S5:S16)</f>
        <v>13471971</v>
      </c>
      <c r="T17" s="126">
        <f t="shared" ref="T17" si="1">SUM(T5:T16)</f>
        <v>14780595</v>
      </c>
      <c r="U17" s="126">
        <f>SUM(U5:U16)</f>
        <v>14929078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56108</v>
      </c>
      <c r="Q24" s="117">
        <v>59777</v>
      </c>
      <c r="R24" s="1">
        <v>63089</v>
      </c>
      <c r="S24" s="1">
        <v>53781</v>
      </c>
      <c r="T24" s="1">
        <v>55652</v>
      </c>
      <c r="U24" s="1">
        <v>66668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48938</v>
      </c>
      <c r="Q25" s="117">
        <v>43945</v>
      </c>
      <c r="R25" s="1">
        <v>45082</v>
      </c>
      <c r="S25" s="1">
        <v>45309</v>
      </c>
      <c r="T25" s="1">
        <v>42600</v>
      </c>
      <c r="U25" s="1">
        <v>49839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35128</v>
      </c>
      <c r="Q26" s="117">
        <v>30461</v>
      </c>
      <c r="R26" s="1">
        <v>36784</v>
      </c>
      <c r="S26" s="1">
        <v>36404</v>
      </c>
      <c r="T26" s="1">
        <v>38309</v>
      </c>
      <c r="U26" s="1">
        <v>59823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41890</v>
      </c>
      <c r="Q27" s="117">
        <v>45954</v>
      </c>
      <c r="R27" s="1">
        <v>56222</v>
      </c>
      <c r="S27" s="1">
        <v>53042</v>
      </c>
      <c r="T27" s="1">
        <v>19026</v>
      </c>
      <c r="U27" s="1">
        <v>55167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38920</v>
      </c>
      <c r="Q28" s="117">
        <v>50311</v>
      </c>
      <c r="R28" s="1">
        <v>46181</v>
      </c>
      <c r="S28" s="1">
        <v>56748</v>
      </c>
      <c r="T28" s="1">
        <v>96286</v>
      </c>
      <c r="U28" s="1">
        <v>43605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51455</v>
      </c>
      <c r="Q29" s="117">
        <v>46457</v>
      </c>
      <c r="R29" s="1">
        <v>39301</v>
      </c>
      <c r="S29" s="1">
        <v>43391</v>
      </c>
      <c r="T29" s="1">
        <v>80158</v>
      </c>
      <c r="U29" s="1">
        <v>54158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>
        <v>802</v>
      </c>
      <c r="P30" s="117">
        <v>50810</v>
      </c>
      <c r="Q30" s="117">
        <v>48198</v>
      </c>
      <c r="R30" s="1">
        <v>43937</v>
      </c>
      <c r="S30" s="1">
        <v>49532</v>
      </c>
      <c r="T30" s="1">
        <v>56238</v>
      </c>
      <c r="U30" s="1">
        <v>67236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>
        <v>0</v>
      </c>
      <c r="P31" s="117">
        <v>46315</v>
      </c>
      <c r="Q31" s="117">
        <v>69014</v>
      </c>
      <c r="R31" s="1">
        <v>51920</v>
      </c>
      <c r="S31" s="1">
        <v>60519</v>
      </c>
      <c r="T31" s="1">
        <v>67228</v>
      </c>
      <c r="U31" s="1">
        <v>57528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>
        <v>0</v>
      </c>
      <c r="P32" s="117">
        <v>43322</v>
      </c>
      <c r="Q32" s="117">
        <v>56178</v>
      </c>
      <c r="R32" s="2">
        <v>48255</v>
      </c>
      <c r="S32" s="1">
        <v>46550</v>
      </c>
      <c r="T32" s="1">
        <v>62331</v>
      </c>
      <c r="U32" s="1">
        <v>59476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487</v>
      </c>
      <c r="P33" s="117">
        <v>53109</v>
      </c>
      <c r="Q33" s="117">
        <v>53249</v>
      </c>
      <c r="R33" s="1">
        <v>49191</v>
      </c>
      <c r="S33" s="1">
        <v>61188</v>
      </c>
      <c r="T33" s="1">
        <v>73069</v>
      </c>
      <c r="U33" s="1">
        <v>61059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36695</v>
      </c>
      <c r="P34" s="117">
        <v>46787</v>
      </c>
      <c r="Q34" s="117">
        <v>50116</v>
      </c>
      <c r="R34" s="1">
        <v>40745</v>
      </c>
      <c r="S34" s="1">
        <v>82557</v>
      </c>
      <c r="T34" s="1">
        <v>33571</v>
      </c>
      <c r="U34" s="1">
        <v>62555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36878</v>
      </c>
      <c r="P35" s="95">
        <v>43103</v>
      </c>
      <c r="Q35" s="95">
        <v>45182</v>
      </c>
      <c r="R35" s="1">
        <v>45520</v>
      </c>
      <c r="S35" s="1">
        <v>50980</v>
      </c>
      <c r="T35" s="1">
        <v>69165</v>
      </c>
      <c r="U35" s="1">
        <v>55970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74862</v>
      </c>
      <c r="P36" s="96">
        <f>SUM(P24:P35)</f>
        <v>555885</v>
      </c>
      <c r="Q36" s="96">
        <f>SUM(Q24:Q35)</f>
        <v>598842</v>
      </c>
      <c r="R36" s="126">
        <f t="shared" ref="R36" si="2">SUM(R24:R35)</f>
        <v>566227</v>
      </c>
      <c r="S36" s="126">
        <f>SUM(S24:S35)</f>
        <v>640001</v>
      </c>
      <c r="T36" s="126">
        <f t="shared" ref="T36" si="3">SUM(T24:T35)</f>
        <v>693633</v>
      </c>
      <c r="U36" s="126">
        <f>SUM(U24:U35)</f>
        <v>693084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-231</v>
      </c>
      <c r="Q42" s="117">
        <v>-245</v>
      </c>
      <c r="R42" s="1">
        <v>-951</v>
      </c>
      <c r="S42" s="117">
        <v>-81</v>
      </c>
      <c r="T42" s="1">
        <v>-5119</v>
      </c>
      <c r="U42" s="117">
        <v>-210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-4185</v>
      </c>
      <c r="R43" s="1">
        <v>-3966</v>
      </c>
      <c r="S43" s="1">
        <v>-8179</v>
      </c>
      <c r="T43" s="1">
        <v>-8677</v>
      </c>
      <c r="U43" s="1">
        <v>-5909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-10</v>
      </c>
      <c r="Q44" s="117">
        <v>-479</v>
      </c>
      <c r="R44" s="1">
        <v>-15843</v>
      </c>
      <c r="S44" s="1">
        <v>-1466</v>
      </c>
      <c r="T44" s="1">
        <v>-5116</v>
      </c>
      <c r="U44" s="1">
        <v>-660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-95</v>
      </c>
      <c r="Q45" s="117">
        <v>-4748</v>
      </c>
      <c r="R45" s="1">
        <v>-1105</v>
      </c>
      <c r="S45" s="117">
        <v>-105</v>
      </c>
      <c r="T45" s="1">
        <v>-81</v>
      </c>
      <c r="U45" s="117">
        <v>-474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-251</v>
      </c>
      <c r="Q46" s="117">
        <v>-1176</v>
      </c>
      <c r="R46" s="1">
        <v>-7267</v>
      </c>
      <c r="S46" s="1">
        <v>-1479</v>
      </c>
      <c r="T46" s="1">
        <v>-1077</v>
      </c>
      <c r="U46" s="1">
        <v>-808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-31</v>
      </c>
      <c r="Q47" s="117">
        <v>-90</v>
      </c>
      <c r="R47" s="1">
        <v>-9340</v>
      </c>
      <c r="S47" s="1">
        <v>-2209</v>
      </c>
      <c r="T47" s="1">
        <v>-4514</v>
      </c>
      <c r="U47" s="1">
        <v>-287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>
        <v>0</v>
      </c>
      <c r="P48" s="117">
        <v>-719</v>
      </c>
      <c r="Q48" s="117">
        <v>-531</v>
      </c>
      <c r="R48" s="1">
        <v>-3952</v>
      </c>
      <c r="S48" s="1">
        <v>-2566</v>
      </c>
      <c r="T48" s="1">
        <v>-1544</v>
      </c>
      <c r="U48" s="1">
        <v>-2752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>
        <v>0</v>
      </c>
      <c r="P49" s="117">
        <v>-227</v>
      </c>
      <c r="Q49" s="117">
        <v>-943</v>
      </c>
      <c r="R49" s="1">
        <v>-3429</v>
      </c>
      <c r="S49" s="1">
        <v>-342</v>
      </c>
      <c r="T49" s="1">
        <v>-910</v>
      </c>
      <c r="U49" s="1">
        <v>-2144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>
        <v>0</v>
      </c>
      <c r="P50" s="117">
        <v>-712</v>
      </c>
      <c r="Q50" s="117">
        <v>-176</v>
      </c>
      <c r="R50" s="117">
        <v>-601</v>
      </c>
      <c r="S50" s="1">
        <v>-805</v>
      </c>
      <c r="T50" s="1">
        <v>-2</v>
      </c>
      <c r="U50" s="1">
        <v>-1577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-107</v>
      </c>
      <c r="Q51" s="117">
        <v>-1222</v>
      </c>
      <c r="R51" s="1">
        <v>-4417</v>
      </c>
      <c r="S51" s="117">
        <v>-341</v>
      </c>
      <c r="T51" s="1">
        <v>-11338</v>
      </c>
      <c r="U51" s="1">
        <v>-11727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-99</v>
      </c>
      <c r="P52" s="117">
        <v>-21</v>
      </c>
      <c r="Q52" s="117">
        <v>-3031</v>
      </c>
      <c r="R52" s="1">
        <v>-2680</v>
      </c>
      <c r="S52" s="1">
        <v>-1134</v>
      </c>
      <c r="T52" s="1">
        <v>-2293</v>
      </c>
      <c r="U52" s="1">
        <v>-50866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-1</v>
      </c>
      <c r="P53" s="95">
        <v>-8660</v>
      </c>
      <c r="Q53" s="95">
        <v>-750</v>
      </c>
      <c r="R53" s="1">
        <v>-2140</v>
      </c>
      <c r="S53" s="162">
        <v>-248</v>
      </c>
      <c r="T53" s="1">
        <v>-1748</v>
      </c>
      <c r="U53" s="1">
        <v>-9700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-100</v>
      </c>
      <c r="P54" s="96">
        <f>SUM(P42:P53)</f>
        <v>-11064</v>
      </c>
      <c r="Q54" s="96">
        <f>SUM(Q42:Q53)</f>
        <v>-17576</v>
      </c>
      <c r="R54" s="126">
        <f t="shared" ref="R54" si="4">SUM(R42:R53)</f>
        <v>-55691</v>
      </c>
      <c r="S54" s="126">
        <f>SUM(S42:S53)</f>
        <v>-18955</v>
      </c>
      <c r="T54" s="126">
        <f t="shared" ref="T54" si="5">SUM(T42:T53)</f>
        <v>-42419</v>
      </c>
      <c r="U54" s="126">
        <f>SUM(U42:U53)</f>
        <v>-87114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52980</v>
      </c>
      <c r="Q60" s="117">
        <v>75860</v>
      </c>
      <c r="R60" s="1">
        <v>82000</v>
      </c>
      <c r="S60" s="1">
        <v>72060</v>
      </c>
      <c r="T60" s="1">
        <v>71760</v>
      </c>
      <c r="U60" s="1">
        <v>101800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67100</v>
      </c>
      <c r="Q61" s="117">
        <v>60980</v>
      </c>
      <c r="R61" s="1">
        <v>73160</v>
      </c>
      <c r="S61" s="1">
        <v>82520</v>
      </c>
      <c r="T61" s="1">
        <v>212220</v>
      </c>
      <c r="U61" s="1">
        <v>60720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59660</v>
      </c>
      <c r="Q62" s="117">
        <v>54800</v>
      </c>
      <c r="R62" s="113">
        <v>63200</v>
      </c>
      <c r="S62" s="1">
        <v>69080</v>
      </c>
      <c r="T62" s="1">
        <v>64000</v>
      </c>
      <c r="U62" s="1">
        <v>65400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82140</v>
      </c>
      <c r="Q63" s="117">
        <v>86040</v>
      </c>
      <c r="R63" s="117">
        <v>76800</v>
      </c>
      <c r="S63" s="1">
        <v>112520</v>
      </c>
      <c r="T63" s="1">
        <v>99940</v>
      </c>
      <c r="U63" s="1">
        <v>124620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64640</v>
      </c>
      <c r="Q64" s="117">
        <v>83560</v>
      </c>
      <c r="R64" s="1">
        <v>73360</v>
      </c>
      <c r="S64" s="1">
        <v>84020</v>
      </c>
      <c r="T64" s="1">
        <v>91020</v>
      </c>
      <c r="U64" s="1">
        <v>109760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68460</v>
      </c>
      <c r="Q65" s="117">
        <v>85060</v>
      </c>
      <c r="R65" s="1">
        <v>82080</v>
      </c>
      <c r="S65" s="1">
        <v>81060</v>
      </c>
      <c r="T65" s="1">
        <v>59800</v>
      </c>
      <c r="U65" s="1">
        <v>69980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64920</v>
      </c>
      <c r="Q66" s="117">
        <v>88680</v>
      </c>
      <c r="R66" s="1">
        <v>104400</v>
      </c>
      <c r="S66" s="1">
        <v>87120</v>
      </c>
      <c r="T66" s="1">
        <v>77300</v>
      </c>
      <c r="U66" s="1">
        <v>89120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92460</v>
      </c>
      <c r="Q67" s="117">
        <v>81560</v>
      </c>
      <c r="R67" s="1">
        <v>98980</v>
      </c>
      <c r="S67" s="1">
        <v>90420</v>
      </c>
      <c r="T67" s="1">
        <v>58280</v>
      </c>
      <c r="U67" s="1">
        <v>69600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68000</v>
      </c>
      <c r="Q68" s="117">
        <v>77860</v>
      </c>
      <c r="R68" s="2">
        <v>84740</v>
      </c>
      <c r="S68" s="1">
        <v>67960</v>
      </c>
      <c r="T68" s="1">
        <v>63020</v>
      </c>
      <c r="U68" s="1">
        <v>81020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74100</v>
      </c>
      <c r="Q69" s="117">
        <v>77240</v>
      </c>
      <c r="R69" s="1">
        <v>94720</v>
      </c>
      <c r="S69" s="1">
        <v>85740</v>
      </c>
      <c r="T69" s="1">
        <v>80620</v>
      </c>
      <c r="U69" s="1">
        <v>101920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61320</v>
      </c>
      <c r="P70" s="117">
        <v>64320</v>
      </c>
      <c r="Q70" s="117">
        <v>77240</v>
      </c>
      <c r="R70" s="1">
        <v>84000</v>
      </c>
      <c r="S70" s="1">
        <v>88180</v>
      </c>
      <c r="T70" s="1">
        <v>67560</v>
      </c>
      <c r="U70" s="1">
        <v>70520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61820</v>
      </c>
      <c r="P71" s="95">
        <v>57820</v>
      </c>
      <c r="Q71" s="95">
        <v>71860</v>
      </c>
      <c r="R71" s="1">
        <v>65480</v>
      </c>
      <c r="S71" s="1">
        <v>80288</v>
      </c>
      <c r="T71" s="1">
        <v>41660</v>
      </c>
      <c r="U71" s="1">
        <v>69720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0</v>
      </c>
      <c r="O72" s="96">
        <f>SUM(O60:O71)</f>
        <v>123140</v>
      </c>
      <c r="P72" s="96">
        <f>SUM(P60:P71)</f>
        <v>816600</v>
      </c>
      <c r="Q72" s="96">
        <f>SUM(Q60:Q71)</f>
        <v>920740</v>
      </c>
      <c r="R72" s="126">
        <f t="shared" ref="R72" si="6">SUM(R60:R71)</f>
        <v>982920</v>
      </c>
      <c r="S72" s="126">
        <f>SUM(S60:S71)</f>
        <v>1000968</v>
      </c>
      <c r="T72" s="126">
        <f t="shared" ref="T72" si="7">SUM(T60:T71)</f>
        <v>987180</v>
      </c>
      <c r="U72" s="126">
        <f>SUM(U60:U71)</f>
        <v>1014180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19" width="11.42578125" bestFit="1" customWidth="1"/>
    <col min="20" max="21" width="11.7109375" bestFit="1" customWidth="1"/>
  </cols>
  <sheetData>
    <row r="1" spans="1:21" x14ac:dyDescent="0.2">
      <c r="A1" s="121" t="s">
        <v>297</v>
      </c>
    </row>
    <row r="2" spans="1:21" x14ac:dyDescent="0.2">
      <c r="A2" s="24" t="s">
        <v>84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623312</v>
      </c>
      <c r="Q5" s="117">
        <v>779640</v>
      </c>
      <c r="R5" s="1">
        <v>1009665</v>
      </c>
      <c r="S5" s="1">
        <v>811084</v>
      </c>
      <c r="T5" s="1">
        <v>968459</v>
      </c>
      <c r="U5" s="1">
        <v>914988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441698</v>
      </c>
      <c r="Q6" s="117">
        <v>522180</v>
      </c>
      <c r="R6" s="1">
        <v>689074</v>
      </c>
      <c r="S6" s="1">
        <v>665618</v>
      </c>
      <c r="T6" s="1">
        <v>840924</v>
      </c>
      <c r="U6" s="1">
        <v>680350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529116</v>
      </c>
      <c r="Q7" s="117">
        <v>533525</v>
      </c>
      <c r="R7" s="1">
        <v>554218</v>
      </c>
      <c r="S7" s="1">
        <v>834016</v>
      </c>
      <c r="T7" s="1">
        <v>864889</v>
      </c>
      <c r="U7" s="1">
        <v>685128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522520</v>
      </c>
      <c r="Q8" s="117">
        <v>547674</v>
      </c>
      <c r="R8" s="1">
        <v>645195</v>
      </c>
      <c r="S8" s="1">
        <v>807051</v>
      </c>
      <c r="T8" s="1">
        <v>965656</v>
      </c>
      <c r="U8" s="1">
        <v>823241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445481</v>
      </c>
      <c r="Q9" s="117">
        <v>587767</v>
      </c>
      <c r="R9" s="1">
        <v>574624</v>
      </c>
      <c r="S9" s="1">
        <v>676899</v>
      </c>
      <c r="T9" s="1">
        <v>1054154</v>
      </c>
      <c r="U9" s="1">
        <v>720562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545926</v>
      </c>
      <c r="Q10" s="117">
        <v>754345</v>
      </c>
      <c r="R10" s="1">
        <v>625914</v>
      </c>
      <c r="S10" s="1">
        <v>764086</v>
      </c>
      <c r="T10" s="1">
        <v>1048127</v>
      </c>
      <c r="U10" s="1">
        <v>899954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490062</v>
      </c>
      <c r="Q11" s="117">
        <v>672105</v>
      </c>
      <c r="R11" s="1">
        <v>637990</v>
      </c>
      <c r="S11" s="1">
        <v>767649</v>
      </c>
      <c r="T11" s="1">
        <v>919899</v>
      </c>
      <c r="U11" s="1">
        <v>1022618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633221</v>
      </c>
      <c r="Q12" s="117">
        <v>719859</v>
      </c>
      <c r="R12" s="1">
        <v>785964</v>
      </c>
      <c r="S12" s="1">
        <v>839538</v>
      </c>
      <c r="T12" s="1">
        <v>873390</v>
      </c>
      <c r="U12" s="1">
        <v>862558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598993</v>
      </c>
      <c r="Q13" s="117">
        <v>675203</v>
      </c>
      <c r="R13" s="2">
        <v>689276</v>
      </c>
      <c r="S13" s="1">
        <v>777078</v>
      </c>
      <c r="T13" s="1">
        <v>931673</v>
      </c>
      <c r="U13" s="1">
        <v>868915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169</v>
      </c>
      <c r="P14" s="117">
        <v>560477</v>
      </c>
      <c r="Q14" s="117">
        <v>685939</v>
      </c>
      <c r="R14" s="1">
        <v>687917</v>
      </c>
      <c r="S14" s="1">
        <v>838896</v>
      </c>
      <c r="T14" s="1">
        <v>865897</v>
      </c>
      <c r="U14" s="1">
        <v>935607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411541</v>
      </c>
      <c r="P15" s="117">
        <v>573040</v>
      </c>
      <c r="Q15" s="117">
        <v>705539</v>
      </c>
      <c r="R15" s="1">
        <v>610057</v>
      </c>
      <c r="S15" s="1">
        <v>718273</v>
      </c>
      <c r="T15" s="1">
        <v>887488</v>
      </c>
      <c r="U15" s="1">
        <v>794300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451170</v>
      </c>
      <c r="P16" s="95">
        <v>611284</v>
      </c>
      <c r="Q16" s="95">
        <v>656676</v>
      </c>
      <c r="R16" s="1">
        <v>625476</v>
      </c>
      <c r="S16" s="1">
        <v>932981</v>
      </c>
      <c r="T16" s="1">
        <v>1065319</v>
      </c>
      <c r="U16" s="1">
        <v>824264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862880</v>
      </c>
      <c r="P17" s="96">
        <f>SUM(P5:P16)</f>
        <v>6575130</v>
      </c>
      <c r="Q17" s="96">
        <f>SUM(Q5:Q16)</f>
        <v>7840452</v>
      </c>
      <c r="R17" s="126">
        <f t="shared" ref="R17" si="0">SUM(R5:R16)</f>
        <v>8135370</v>
      </c>
      <c r="S17" s="126">
        <f>SUM(S5:S16)</f>
        <v>9433169</v>
      </c>
      <c r="T17" s="126">
        <f t="shared" ref="T17" si="1">SUM(T5:T16)</f>
        <v>11285875</v>
      </c>
      <c r="U17" s="126">
        <f>SUM(U5:U16)</f>
        <v>10032485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100166</v>
      </c>
      <c r="Q24" s="117">
        <v>49454</v>
      </c>
      <c r="R24" s="1">
        <v>62860</v>
      </c>
      <c r="S24" s="1">
        <v>56523</v>
      </c>
      <c r="T24" s="1">
        <v>75902</v>
      </c>
      <c r="U24" s="1">
        <v>53719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45810</v>
      </c>
      <c r="Q25" s="117">
        <v>98351</v>
      </c>
      <c r="R25" s="1">
        <v>63311</v>
      </c>
      <c r="S25" s="1">
        <v>4039</v>
      </c>
      <c r="T25" s="1">
        <v>72936</v>
      </c>
      <c r="U25" s="1">
        <v>55773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35696</v>
      </c>
      <c r="Q26" s="117">
        <v>47365</v>
      </c>
      <c r="R26" s="1">
        <v>59543</v>
      </c>
      <c r="S26" s="1">
        <v>138302</v>
      </c>
      <c r="T26" s="1">
        <v>71159</v>
      </c>
      <c r="U26" s="1">
        <v>44903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26660</v>
      </c>
      <c r="Q27" s="117">
        <v>87624</v>
      </c>
      <c r="R27" s="1">
        <v>52436</v>
      </c>
      <c r="S27" s="1">
        <v>45821</v>
      </c>
      <c r="T27" s="1">
        <v>101098</v>
      </c>
      <c r="U27" s="1">
        <v>56786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14376</v>
      </c>
      <c r="Q28" s="117">
        <v>67013</v>
      </c>
      <c r="R28" s="1">
        <v>45698</v>
      </c>
      <c r="S28" s="1">
        <v>51780</v>
      </c>
      <c r="T28" s="1">
        <v>155016</v>
      </c>
      <c r="U28" s="1">
        <v>39626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49514</v>
      </c>
      <c r="Q29" s="117">
        <v>134751</v>
      </c>
      <c r="R29" s="1">
        <v>-8136</v>
      </c>
      <c r="S29" s="1">
        <v>27431</v>
      </c>
      <c r="T29" s="1">
        <v>159914</v>
      </c>
      <c r="U29" s="1">
        <v>41181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26844</v>
      </c>
      <c r="Q30" s="117">
        <v>47121</v>
      </c>
      <c r="R30" s="1">
        <v>37699</v>
      </c>
      <c r="S30" s="1">
        <v>29810</v>
      </c>
      <c r="T30" s="1">
        <v>91259</v>
      </c>
      <c r="U30" s="1">
        <v>61447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154834</v>
      </c>
      <c r="Q31" s="117">
        <v>90645</v>
      </c>
      <c r="R31" s="1">
        <v>73248</v>
      </c>
      <c r="S31" s="1">
        <v>46636</v>
      </c>
      <c r="T31" s="1">
        <v>81908</v>
      </c>
      <c r="U31" s="1">
        <v>41674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37995</v>
      </c>
      <c r="Q32" s="117">
        <v>130292</v>
      </c>
      <c r="R32" s="2">
        <v>104619</v>
      </c>
      <c r="S32" s="1">
        <v>11726</v>
      </c>
      <c r="T32" s="1">
        <v>74835</v>
      </c>
      <c r="U32" s="1">
        <v>36298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5</v>
      </c>
      <c r="P33" s="117">
        <v>34460</v>
      </c>
      <c r="Q33" s="117">
        <v>97197</v>
      </c>
      <c r="R33" s="1">
        <v>52738</v>
      </c>
      <c r="S33" s="1">
        <v>65710</v>
      </c>
      <c r="T33" s="1">
        <v>72747</v>
      </c>
      <c r="U33" s="1">
        <v>37494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15793</v>
      </c>
      <c r="P34" s="117">
        <v>63002</v>
      </c>
      <c r="Q34" s="117">
        <v>104301</v>
      </c>
      <c r="R34" s="1">
        <v>48418</v>
      </c>
      <c r="S34" s="1">
        <v>2627</v>
      </c>
      <c r="T34" s="1">
        <v>69951</v>
      </c>
      <c r="U34" s="1">
        <v>73817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13664</v>
      </c>
      <c r="P35" s="95">
        <v>52313</v>
      </c>
      <c r="Q35" s="95">
        <v>39862</v>
      </c>
      <c r="R35" s="1">
        <v>-12766</v>
      </c>
      <c r="S35" s="1">
        <v>166570</v>
      </c>
      <c r="T35" s="1">
        <v>98780</v>
      </c>
      <c r="U35" s="1">
        <v>64793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29462</v>
      </c>
      <c r="P36" s="96">
        <f>SUM(P24:P35)</f>
        <v>641670</v>
      </c>
      <c r="Q36" s="96">
        <f>SUM(Q24:Q35)</f>
        <v>993976</v>
      </c>
      <c r="R36" s="126">
        <f t="shared" ref="R36" si="2">SUM(R24:R35)</f>
        <v>579668</v>
      </c>
      <c r="S36" s="126">
        <f>SUM(S24:S35)</f>
        <v>646975</v>
      </c>
      <c r="T36" s="126">
        <f t="shared" ref="T36" si="3">SUM(T24:T35)</f>
        <v>1125505</v>
      </c>
      <c r="U36" s="126">
        <f>SUM(U24:U35)</f>
        <v>607511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-4</v>
      </c>
      <c r="Q42" s="117">
        <v>-67</v>
      </c>
      <c r="R42" s="1">
        <v>-1503</v>
      </c>
      <c r="S42" s="117">
        <v>-3</v>
      </c>
      <c r="T42" s="1">
        <v>-93179</v>
      </c>
      <c r="U42" s="1">
        <v>-52858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-1</v>
      </c>
      <c r="Q43" s="117">
        <v>-1</v>
      </c>
      <c r="R43" s="1">
        <v>-299053</v>
      </c>
      <c r="S43" s="1">
        <v>-129947</v>
      </c>
      <c r="T43" s="1">
        <v>-18997</v>
      </c>
      <c r="U43" s="1">
        <v>-156912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-270</v>
      </c>
      <c r="R44" s="1">
        <v>-4912</v>
      </c>
      <c r="S44" s="117">
        <v>-8</v>
      </c>
      <c r="T44" s="1">
        <v>-10847</v>
      </c>
      <c r="U44" s="1">
        <v>-139544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-339</v>
      </c>
      <c r="R45" s="1">
        <v>-3978</v>
      </c>
      <c r="S45" s="1">
        <v>-108420</v>
      </c>
      <c r="T45" s="1">
        <v>-90645</v>
      </c>
      <c r="U45" s="1">
        <v>-16850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-1812</v>
      </c>
      <c r="Q46" s="117">
        <v>0</v>
      </c>
      <c r="R46" s="1">
        <v>-142123</v>
      </c>
      <c r="S46" s="1">
        <v>-113488</v>
      </c>
      <c r="T46" s="1">
        <v>-4927</v>
      </c>
      <c r="U46" s="1">
        <v>-1879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-1271</v>
      </c>
      <c r="Q47" s="117">
        <v>-1389</v>
      </c>
      <c r="R47" s="1">
        <v>-17843</v>
      </c>
      <c r="S47" s="1">
        <v>-23200</v>
      </c>
      <c r="T47" s="1">
        <v>-43197</v>
      </c>
      <c r="U47" s="1">
        <v>-9425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-17</v>
      </c>
      <c r="Q48" s="117">
        <v>-5883</v>
      </c>
      <c r="R48" s="1">
        <v>-370</v>
      </c>
      <c r="S48" s="117">
        <v>0</v>
      </c>
      <c r="T48" s="1">
        <v>-5227</v>
      </c>
      <c r="U48" s="1">
        <v>-150239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-4915</v>
      </c>
      <c r="Q49" s="117">
        <v>-3114</v>
      </c>
      <c r="R49" s="1">
        <v>-5415</v>
      </c>
      <c r="S49" s="117">
        <v>-95</v>
      </c>
      <c r="T49" s="1">
        <v>-2512</v>
      </c>
      <c r="U49" s="1">
        <v>-13929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-88</v>
      </c>
      <c r="Q50" s="117">
        <v>-1103</v>
      </c>
      <c r="R50" s="117">
        <v>-90</v>
      </c>
      <c r="S50" s="117">
        <v>0</v>
      </c>
      <c r="T50" s="1">
        <v>-13367</v>
      </c>
      <c r="U50" s="117">
        <v>-2073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-69</v>
      </c>
      <c r="Q51" s="117">
        <v>-158557</v>
      </c>
      <c r="R51" s="1">
        <v>-2105</v>
      </c>
      <c r="S51" s="117">
        <v>-325</v>
      </c>
      <c r="T51" s="1">
        <v>-54682</v>
      </c>
      <c r="U51" s="117">
        <v>-25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-213</v>
      </c>
      <c r="P52" s="117">
        <v>-3585</v>
      </c>
      <c r="Q52" s="117">
        <v>-2223</v>
      </c>
      <c r="R52" s="1">
        <v>-426384</v>
      </c>
      <c r="S52" s="1">
        <v>-99544</v>
      </c>
      <c r="T52" s="1">
        <v>-107</v>
      </c>
      <c r="U52" s="1">
        <v>-38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-3</v>
      </c>
      <c r="P53" s="95">
        <v>-18</v>
      </c>
      <c r="Q53" s="95">
        <v>-3824</v>
      </c>
      <c r="R53" s="1">
        <v>-68857</v>
      </c>
      <c r="S53" s="162">
        <v>-719</v>
      </c>
      <c r="T53" s="1">
        <v>-117896</v>
      </c>
      <c r="U53" s="1">
        <v>-68042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-216</v>
      </c>
      <c r="P54" s="96">
        <f>SUM(P42:P53)</f>
        <v>-11780</v>
      </c>
      <c r="Q54" s="96">
        <f>SUM(Q42:Q53)</f>
        <v>-176770</v>
      </c>
      <c r="R54" s="126">
        <f t="shared" ref="R54" si="4">SUM(R42:R53)</f>
        <v>-972633</v>
      </c>
      <c r="S54" s="126">
        <f>SUM(S42:S53)</f>
        <v>-475749</v>
      </c>
      <c r="T54" s="126">
        <f t="shared" ref="T54" si="5">SUM(T42:T53)</f>
        <v>-455583</v>
      </c>
      <c r="U54" s="126">
        <f>SUM(U42:U53)</f>
        <v>-611814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286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>
        <v>4700</v>
      </c>
      <c r="Q60" s="117">
        <v>4960</v>
      </c>
      <c r="R60" s="117">
        <v>4220</v>
      </c>
      <c r="S60" s="117">
        <v>4140</v>
      </c>
      <c r="T60" s="1">
        <v>3640</v>
      </c>
      <c r="U60" s="1">
        <v>3300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>
        <v>3600</v>
      </c>
      <c r="Q61" s="117">
        <v>3580</v>
      </c>
      <c r="R61" s="113">
        <v>3440</v>
      </c>
      <c r="S61" s="1">
        <v>3680</v>
      </c>
      <c r="T61" s="1">
        <v>3360</v>
      </c>
      <c r="U61" s="1">
        <v>2420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>
        <v>3960</v>
      </c>
      <c r="Q62" s="117">
        <v>2960</v>
      </c>
      <c r="R62" s="113">
        <v>3360</v>
      </c>
      <c r="S62" s="117">
        <v>3600</v>
      </c>
      <c r="T62" s="1">
        <v>3580</v>
      </c>
      <c r="U62" s="1">
        <v>3120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4920</v>
      </c>
      <c r="Q63" s="117">
        <v>4460</v>
      </c>
      <c r="R63" s="117">
        <v>3160</v>
      </c>
      <c r="S63" s="1">
        <v>4620</v>
      </c>
      <c r="T63" s="1">
        <v>3460</v>
      </c>
      <c r="U63" s="1">
        <v>3060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4020</v>
      </c>
      <c r="Q64" s="117">
        <v>4380</v>
      </c>
      <c r="R64" s="117">
        <v>2920</v>
      </c>
      <c r="S64" s="1">
        <v>5240</v>
      </c>
      <c r="T64" s="1">
        <v>4020</v>
      </c>
      <c r="U64" s="1">
        <v>3340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4760</v>
      </c>
      <c r="Q65" s="117">
        <v>5300</v>
      </c>
      <c r="R65" s="113">
        <v>4300</v>
      </c>
      <c r="S65" s="1">
        <v>4780</v>
      </c>
      <c r="T65" s="1">
        <v>3260</v>
      </c>
      <c r="U65" s="1">
        <v>3760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5000</v>
      </c>
      <c r="Q66" s="117">
        <v>4240</v>
      </c>
      <c r="R66" s="1">
        <v>4760</v>
      </c>
      <c r="S66" s="1">
        <v>5040</v>
      </c>
      <c r="T66" s="1">
        <v>3840</v>
      </c>
      <c r="U66" s="1">
        <v>3620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4240</v>
      </c>
      <c r="Q67" s="117">
        <v>4580</v>
      </c>
      <c r="R67" s="1">
        <v>5120</v>
      </c>
      <c r="S67" s="1">
        <v>4200</v>
      </c>
      <c r="T67" s="1">
        <v>3560</v>
      </c>
      <c r="U67" s="1">
        <v>3580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5120</v>
      </c>
      <c r="Q68" s="117">
        <v>5040</v>
      </c>
      <c r="R68" s="117">
        <v>4680</v>
      </c>
      <c r="S68" s="117">
        <v>3940</v>
      </c>
      <c r="T68" s="1">
        <v>3560</v>
      </c>
      <c r="U68" s="1">
        <v>19000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5300</v>
      </c>
      <c r="Q69" s="117">
        <v>4040</v>
      </c>
      <c r="R69" s="1">
        <v>4560</v>
      </c>
      <c r="S69" s="1">
        <v>4020</v>
      </c>
      <c r="T69" s="1">
        <v>11340</v>
      </c>
      <c r="U69" s="1">
        <v>3920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>
        <v>4140</v>
      </c>
      <c r="P70" s="117">
        <v>4820</v>
      </c>
      <c r="Q70" s="117">
        <v>4540</v>
      </c>
      <c r="R70" s="1">
        <v>4420</v>
      </c>
      <c r="S70" s="1">
        <v>3900</v>
      </c>
      <c r="T70" s="1">
        <v>3040</v>
      </c>
      <c r="U70" s="1">
        <v>3480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>
        <v>3700</v>
      </c>
      <c r="P71" s="95">
        <v>4080</v>
      </c>
      <c r="Q71" s="95">
        <v>4320</v>
      </c>
      <c r="R71" s="1">
        <v>3660</v>
      </c>
      <c r="S71" s="1">
        <v>4380</v>
      </c>
      <c r="T71" s="1">
        <v>2000</v>
      </c>
      <c r="U71" s="1">
        <v>2920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/>
      <c r="O72" s="96">
        <f>SUM(O60:O71)</f>
        <v>7840</v>
      </c>
      <c r="P72" s="96">
        <f>SUM(P60:P71)</f>
        <v>54520</v>
      </c>
      <c r="Q72" s="96">
        <f>SUM(Q60:Q71)</f>
        <v>52400</v>
      </c>
      <c r="R72" s="126">
        <f t="shared" ref="R72" si="6">SUM(R60:R71)</f>
        <v>48600</v>
      </c>
      <c r="S72" s="126">
        <f>SUM(S60:S71)</f>
        <v>51540</v>
      </c>
      <c r="T72" s="126">
        <f t="shared" ref="T72" si="7">SUM(T60:T71)</f>
        <v>48660</v>
      </c>
      <c r="U72" s="126">
        <f>SUM(U60:U71)</f>
        <v>55520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21" width="10.7109375" bestFit="1" customWidth="1"/>
  </cols>
  <sheetData>
    <row r="1" spans="1:21" x14ac:dyDescent="0.2">
      <c r="A1" s="121"/>
    </row>
    <row r="2" spans="1:21" x14ac:dyDescent="0.2">
      <c r="A2" s="24" t="s">
        <v>308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61711</v>
      </c>
      <c r="Q5" s="117">
        <v>65978</v>
      </c>
      <c r="R5" s="1">
        <v>85068</v>
      </c>
      <c r="S5" s="1">
        <v>91397</v>
      </c>
      <c r="T5" s="1">
        <v>103925</v>
      </c>
      <c r="U5" s="1">
        <v>102917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49927</v>
      </c>
      <c r="Q6" s="117">
        <v>60134</v>
      </c>
      <c r="R6" s="1">
        <v>65968</v>
      </c>
      <c r="S6" s="1">
        <v>69294</v>
      </c>
      <c r="T6" s="1">
        <v>80290</v>
      </c>
      <c r="U6" s="1">
        <v>81226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42273</v>
      </c>
      <c r="Q7" s="117">
        <v>57092</v>
      </c>
      <c r="R7" s="1">
        <v>65863</v>
      </c>
      <c r="S7" s="1">
        <v>65864</v>
      </c>
      <c r="T7" s="1">
        <v>76831</v>
      </c>
      <c r="U7" s="1">
        <v>80324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60479</v>
      </c>
      <c r="Q8" s="117">
        <v>68960</v>
      </c>
      <c r="R8" s="1">
        <v>67133</v>
      </c>
      <c r="S8" s="1">
        <v>95096</v>
      </c>
      <c r="T8" s="1">
        <v>84108</v>
      </c>
      <c r="U8" s="1">
        <v>96881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52768</v>
      </c>
      <c r="Q9" s="117">
        <v>69937</v>
      </c>
      <c r="R9" s="1">
        <v>63477</v>
      </c>
      <c r="S9" s="1">
        <v>88960</v>
      </c>
      <c r="T9" s="1">
        <v>79483</v>
      </c>
      <c r="U9" s="1">
        <v>90540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61091</v>
      </c>
      <c r="Q10" s="117">
        <v>79612</v>
      </c>
      <c r="R10" s="1">
        <v>80126</v>
      </c>
      <c r="S10" s="1">
        <v>90204</v>
      </c>
      <c r="T10" s="1">
        <v>92952</v>
      </c>
      <c r="U10" s="1">
        <v>105309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54436</v>
      </c>
      <c r="Q11" s="117">
        <v>73798</v>
      </c>
      <c r="R11" s="1">
        <v>79979</v>
      </c>
      <c r="S11" s="1">
        <v>95812</v>
      </c>
      <c r="T11" s="1">
        <v>103283</v>
      </c>
      <c r="U11" s="1">
        <v>106236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79215</v>
      </c>
      <c r="Q12" s="117">
        <v>91028</v>
      </c>
      <c r="R12" s="1">
        <v>94084</v>
      </c>
      <c r="S12" s="1">
        <v>101642</v>
      </c>
      <c r="T12" s="1">
        <v>100795</v>
      </c>
      <c r="U12" s="1">
        <v>97763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67022</v>
      </c>
      <c r="Q13" s="117">
        <v>80461</v>
      </c>
      <c r="R13" s="2">
        <v>80241</v>
      </c>
      <c r="S13" s="1">
        <v>88229</v>
      </c>
      <c r="T13" s="1">
        <v>105675</v>
      </c>
      <c r="U13" s="1">
        <v>100676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61457</v>
      </c>
      <c r="Q14" s="117">
        <v>78276</v>
      </c>
      <c r="R14" s="1">
        <v>78825</v>
      </c>
      <c r="S14" s="1">
        <v>103537</v>
      </c>
      <c r="T14" s="1">
        <v>100745</v>
      </c>
      <c r="U14" s="1">
        <v>94684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50902</v>
      </c>
      <c r="P15" s="117">
        <v>61158</v>
      </c>
      <c r="Q15" s="117">
        <v>73868</v>
      </c>
      <c r="R15" s="1">
        <v>78252</v>
      </c>
      <c r="S15" s="1">
        <v>88701</v>
      </c>
      <c r="T15" s="1">
        <v>94721</v>
      </c>
      <c r="U15" s="1">
        <v>92205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55913</v>
      </c>
      <c r="P16" s="95">
        <v>59595</v>
      </c>
      <c r="Q16" s="95">
        <v>73948</v>
      </c>
      <c r="R16" s="1">
        <v>91215</v>
      </c>
      <c r="S16" s="1">
        <v>87937</v>
      </c>
      <c r="T16" s="1">
        <v>98519</v>
      </c>
      <c r="U16" s="1">
        <v>91868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106815</v>
      </c>
      <c r="P17" s="96">
        <f>SUM(P5:P16)</f>
        <v>711132</v>
      </c>
      <c r="Q17" s="96">
        <f>SUM(Q5:Q16)</f>
        <v>873092</v>
      </c>
      <c r="R17" s="126">
        <f t="shared" ref="R17" si="0">SUM(R5:R16)</f>
        <v>930231</v>
      </c>
      <c r="S17" s="126">
        <f>SUM(S5:S16)</f>
        <v>1066673</v>
      </c>
      <c r="T17" s="126">
        <f t="shared" ref="T17" si="1">SUM(T5:T16)</f>
        <v>1121327</v>
      </c>
      <c r="U17" s="126">
        <f>SUM(U5:U16)</f>
        <v>1140629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309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2322</v>
      </c>
      <c r="Q24" s="117">
        <v>2363</v>
      </c>
      <c r="R24" s="117">
        <v>4367</v>
      </c>
      <c r="S24" s="1">
        <v>4290</v>
      </c>
      <c r="T24" s="1">
        <v>2031</v>
      </c>
      <c r="U24" s="1">
        <v>5093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970</v>
      </c>
      <c r="Q25" s="117">
        <v>1988</v>
      </c>
      <c r="R25" s="113">
        <v>3221</v>
      </c>
      <c r="S25" s="1">
        <v>2903</v>
      </c>
      <c r="T25" s="1">
        <v>5254</v>
      </c>
      <c r="U25" s="1">
        <v>2578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2037</v>
      </c>
      <c r="Q26" s="117">
        <v>1192</v>
      </c>
      <c r="R26" s="113">
        <v>2494</v>
      </c>
      <c r="S26" s="1">
        <v>1755</v>
      </c>
      <c r="T26" s="1">
        <v>2794</v>
      </c>
      <c r="U26" s="1">
        <v>3749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2326</v>
      </c>
      <c r="Q27" s="117">
        <v>3101</v>
      </c>
      <c r="R27" s="1">
        <v>2014</v>
      </c>
      <c r="S27" s="1">
        <v>2933</v>
      </c>
      <c r="T27" s="1">
        <v>3168</v>
      </c>
      <c r="U27" s="1">
        <v>2542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1607</v>
      </c>
      <c r="Q28" s="117">
        <v>2117</v>
      </c>
      <c r="R28" s="1">
        <v>2497</v>
      </c>
      <c r="S28" s="1">
        <v>2086</v>
      </c>
      <c r="T28" s="1">
        <v>2703</v>
      </c>
      <c r="U28" s="1">
        <v>2000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2187</v>
      </c>
      <c r="Q29" s="117">
        <v>2804</v>
      </c>
      <c r="R29" s="113">
        <v>2812</v>
      </c>
      <c r="S29" s="1">
        <v>1549</v>
      </c>
      <c r="T29" s="1">
        <v>2387</v>
      </c>
      <c r="U29" s="1">
        <v>3190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3503</v>
      </c>
      <c r="Q30" s="117">
        <v>2987</v>
      </c>
      <c r="R30" s="1">
        <v>1849</v>
      </c>
      <c r="S30" s="1">
        <v>2642</v>
      </c>
      <c r="T30" s="1">
        <v>4049</v>
      </c>
      <c r="U30" s="1">
        <v>5017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1983</v>
      </c>
      <c r="Q31" s="117">
        <v>2159</v>
      </c>
      <c r="R31" s="1">
        <v>2859</v>
      </c>
      <c r="S31" s="1">
        <v>2965</v>
      </c>
      <c r="T31" s="1">
        <v>2548</v>
      </c>
      <c r="U31" s="1">
        <v>3420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1933</v>
      </c>
      <c r="Q32" s="117">
        <v>2261</v>
      </c>
      <c r="R32" s="2">
        <v>2570</v>
      </c>
      <c r="S32" s="1">
        <v>2560</v>
      </c>
      <c r="T32" s="1">
        <v>9282</v>
      </c>
      <c r="U32" s="1">
        <v>5391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1805</v>
      </c>
      <c r="Q33" s="117">
        <v>3205</v>
      </c>
      <c r="R33" s="1">
        <v>4117</v>
      </c>
      <c r="S33" s="1">
        <v>2807</v>
      </c>
      <c r="T33" s="1">
        <v>7444</v>
      </c>
      <c r="U33" s="1">
        <v>4970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2949</v>
      </c>
      <c r="P34" s="117">
        <v>2881</v>
      </c>
      <c r="Q34" s="117">
        <v>5533</v>
      </c>
      <c r="R34" s="1">
        <v>2583</v>
      </c>
      <c r="S34" s="1">
        <v>2354</v>
      </c>
      <c r="T34" s="1">
        <v>4958</v>
      </c>
      <c r="U34" s="1">
        <v>3593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1680</v>
      </c>
      <c r="P35" s="95">
        <v>2618</v>
      </c>
      <c r="Q35" s="95">
        <v>3191</v>
      </c>
      <c r="R35" s="1">
        <v>2209</v>
      </c>
      <c r="S35" s="1">
        <v>3575</v>
      </c>
      <c r="T35" s="1">
        <v>3078</v>
      </c>
      <c r="U35" s="1">
        <v>3475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4629</v>
      </c>
      <c r="P36" s="96">
        <f>SUM(P24:P35)</f>
        <v>26172</v>
      </c>
      <c r="Q36" s="96">
        <f>SUM(Q24:Q35)</f>
        <v>32901</v>
      </c>
      <c r="R36" s="126">
        <f t="shared" ref="R36" si="2">SUM(R24:R35)</f>
        <v>33592</v>
      </c>
      <c r="S36" s="126">
        <f>SUM(S24:S35)</f>
        <v>32419</v>
      </c>
      <c r="T36" s="126">
        <f t="shared" ref="T36" si="3">SUM(T24:T35)</f>
        <v>49696</v>
      </c>
      <c r="U36" s="126">
        <f>SUM(U24:U35)</f>
        <v>45018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310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-1</v>
      </c>
      <c r="T42" s="1">
        <v>-8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-2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-72</v>
      </c>
      <c r="Q44" s="117">
        <v>0</v>
      </c>
      <c r="R44" s="117">
        <v>-105</v>
      </c>
      <c r="S44" s="117">
        <v>0</v>
      </c>
      <c r="T44" s="1">
        <v>0</v>
      </c>
      <c r="U44" s="117">
        <v>-423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-3</v>
      </c>
      <c r="Q45" s="117">
        <v>0</v>
      </c>
      <c r="R45" s="117">
        <v>0</v>
      </c>
      <c r="S45" s="117">
        <v>-54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-41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0</v>
      </c>
      <c r="R47" s="117">
        <v>-397</v>
      </c>
      <c r="S47" s="117">
        <v>0</v>
      </c>
      <c r="T47" s="1">
        <v>0</v>
      </c>
      <c r="U47" s="117">
        <v>-571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7">
        <v>0</v>
      </c>
      <c r="S48" s="1">
        <v>-2479</v>
      </c>
      <c r="T48" s="1">
        <v>-4</v>
      </c>
      <c r="U48" s="1">
        <v>-571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17">
        <v>0</v>
      </c>
      <c r="S49" s="1">
        <v>-7309</v>
      </c>
      <c r="T49" s="1">
        <v>-175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-1066</v>
      </c>
      <c r="Q51" s="117">
        <v>0</v>
      </c>
      <c r="R51" s="117">
        <v>0</v>
      </c>
      <c r="S51" s="1">
        <v>-1141</v>
      </c>
      <c r="T51" s="1">
        <v>-5</v>
      </c>
      <c r="U51" s="1">
        <v>-289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-1057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0</v>
      </c>
      <c r="Q53" s="168">
        <v>-105</v>
      </c>
      <c r="R53" s="1">
        <v>-167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-1141</v>
      </c>
      <c r="Q54" s="96">
        <f>SUM(Q42:Q53)</f>
        <v>-105</v>
      </c>
      <c r="R54" s="126">
        <f t="shared" ref="R54" si="4">SUM(R42:R53)</f>
        <v>-669</v>
      </c>
      <c r="S54" s="126">
        <f>SUM(S42:S53)</f>
        <v>-10984</v>
      </c>
      <c r="T54" s="126">
        <f t="shared" ref="T54" si="5">SUM(T42:T53)</f>
        <v>-1249</v>
      </c>
      <c r="U54" s="126">
        <f>SUM(U42:U53)</f>
        <v>-1897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366</v>
      </c>
    </row>
    <row r="2" spans="1:21" x14ac:dyDescent="0.2">
      <c r="A2" s="24" t="s">
        <v>404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195645</v>
      </c>
      <c r="Q5" s="117">
        <v>228375</v>
      </c>
      <c r="R5" s="1">
        <v>268396</v>
      </c>
      <c r="S5" s="1">
        <v>306170</v>
      </c>
      <c r="T5" s="1">
        <v>342199</v>
      </c>
      <c r="U5" s="1">
        <v>367353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155589</v>
      </c>
      <c r="Q6" s="117">
        <v>189979</v>
      </c>
      <c r="R6" s="1">
        <v>204728</v>
      </c>
      <c r="S6" s="1">
        <v>240294</v>
      </c>
      <c r="T6" s="1">
        <v>283989</v>
      </c>
      <c r="U6" s="1">
        <v>307225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144923</v>
      </c>
      <c r="Q7" s="117">
        <v>180883</v>
      </c>
      <c r="R7" s="1">
        <v>196305</v>
      </c>
      <c r="S7" s="1">
        <v>238024</v>
      </c>
      <c r="T7" s="1">
        <v>321872</v>
      </c>
      <c r="U7" s="1">
        <v>286748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179396</v>
      </c>
      <c r="Q8" s="117">
        <v>216086</v>
      </c>
      <c r="R8" s="1">
        <v>222900</v>
      </c>
      <c r="S8" s="1">
        <v>311959</v>
      </c>
      <c r="T8" s="1">
        <v>368306</v>
      </c>
      <c r="U8" s="1">
        <v>345822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177499</v>
      </c>
      <c r="Q9" s="117">
        <v>214393</v>
      </c>
      <c r="R9" s="1">
        <v>561551</v>
      </c>
      <c r="S9" s="1">
        <v>295032</v>
      </c>
      <c r="T9" s="1">
        <v>298489</v>
      </c>
      <c r="U9" s="1">
        <v>321207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233166</v>
      </c>
      <c r="Q10" s="117">
        <v>266548</v>
      </c>
      <c r="R10" s="1">
        <v>287257</v>
      </c>
      <c r="S10" s="1">
        <v>335602</v>
      </c>
      <c r="T10" s="1">
        <v>422284</v>
      </c>
      <c r="U10" s="1">
        <v>390939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206467</v>
      </c>
      <c r="Q11" s="117">
        <v>266720</v>
      </c>
      <c r="R11" s="1">
        <v>262557</v>
      </c>
      <c r="S11" s="1">
        <v>371063</v>
      </c>
      <c r="T11" s="1">
        <v>387458</v>
      </c>
      <c r="U11" s="1">
        <v>436780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247811</v>
      </c>
      <c r="Q12" s="117">
        <v>272538</v>
      </c>
      <c r="R12" s="1">
        <v>329043</v>
      </c>
      <c r="S12" s="1">
        <v>369491</v>
      </c>
      <c r="T12" s="1">
        <v>356320</v>
      </c>
      <c r="U12" s="1">
        <v>362232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230321</v>
      </c>
      <c r="Q13" s="117">
        <v>261782</v>
      </c>
      <c r="R13" s="2">
        <v>288673</v>
      </c>
      <c r="S13" s="1">
        <v>317532</v>
      </c>
      <c r="T13" s="1">
        <v>363011</v>
      </c>
      <c r="U13" s="1">
        <v>396496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171</v>
      </c>
      <c r="P14" s="117">
        <v>222981</v>
      </c>
      <c r="Q14" s="117">
        <v>269825</v>
      </c>
      <c r="R14" s="1">
        <v>296729</v>
      </c>
      <c r="S14" s="1">
        <v>352112</v>
      </c>
      <c r="T14" s="1">
        <v>359005</v>
      </c>
      <c r="U14" s="1">
        <v>404682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170558</v>
      </c>
      <c r="P15" s="117">
        <v>214068</v>
      </c>
      <c r="Q15" s="117">
        <v>251122</v>
      </c>
      <c r="R15" s="1">
        <v>283246</v>
      </c>
      <c r="S15" s="1">
        <v>302851</v>
      </c>
      <c r="T15" s="1">
        <v>357798</v>
      </c>
      <c r="U15" s="1">
        <v>480041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174366</v>
      </c>
      <c r="P16" s="95">
        <v>210932</v>
      </c>
      <c r="Q16" s="95">
        <v>249776</v>
      </c>
      <c r="R16" s="1">
        <v>277302</v>
      </c>
      <c r="S16" s="1">
        <v>311357</v>
      </c>
      <c r="T16" s="1">
        <v>396705</v>
      </c>
      <c r="U16" s="1">
        <v>359906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345095</v>
      </c>
      <c r="P17" s="96">
        <f>SUM(P5:P16)</f>
        <v>2418798</v>
      </c>
      <c r="Q17" s="96">
        <f>SUM(Q5:Q16)</f>
        <v>2868027</v>
      </c>
      <c r="R17" s="126">
        <f t="shared" ref="R17" si="0">SUM(R5:R16)</f>
        <v>3478687</v>
      </c>
      <c r="S17" s="126">
        <f>SUM(S5:S16)</f>
        <v>3751487</v>
      </c>
      <c r="T17" s="126">
        <f t="shared" ref="T17" si="1">SUM(T5:T16)</f>
        <v>4257436</v>
      </c>
      <c r="U17" s="126">
        <f>SUM(U5:U16)</f>
        <v>4459431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405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10206</v>
      </c>
      <c r="Q24" s="117">
        <v>14843</v>
      </c>
      <c r="R24" s="1">
        <v>15090</v>
      </c>
      <c r="S24" s="1">
        <v>14537</v>
      </c>
      <c r="T24" s="1">
        <v>18406</v>
      </c>
      <c r="U24" s="1">
        <v>21971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10240</v>
      </c>
      <c r="Q25" s="117">
        <v>10998</v>
      </c>
      <c r="R25" s="1">
        <v>6615</v>
      </c>
      <c r="S25" s="1">
        <v>12319</v>
      </c>
      <c r="T25" s="1">
        <v>5892</v>
      </c>
      <c r="U25" s="1">
        <v>13543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9587</v>
      </c>
      <c r="Q26" s="117">
        <v>7891</v>
      </c>
      <c r="R26" s="1">
        <v>13605</v>
      </c>
      <c r="S26" s="1">
        <v>11510</v>
      </c>
      <c r="T26" s="1">
        <v>8464</v>
      </c>
      <c r="U26" s="1">
        <v>11958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12484</v>
      </c>
      <c r="Q27" s="117">
        <v>10830</v>
      </c>
      <c r="R27" s="117">
        <v>6933</v>
      </c>
      <c r="S27" s="1">
        <v>14806</v>
      </c>
      <c r="T27" s="1">
        <v>12092</v>
      </c>
      <c r="U27" s="1">
        <v>9156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10451</v>
      </c>
      <c r="Q28" s="117">
        <v>11140</v>
      </c>
      <c r="R28" s="1">
        <v>8143</v>
      </c>
      <c r="S28" s="1">
        <v>42276</v>
      </c>
      <c r="T28" s="1">
        <v>11150</v>
      </c>
      <c r="U28" s="1">
        <v>12713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18816</v>
      </c>
      <c r="Q29" s="117">
        <v>14326</v>
      </c>
      <c r="R29" s="1">
        <v>10262</v>
      </c>
      <c r="S29" s="1">
        <v>11582</v>
      </c>
      <c r="T29" s="1">
        <v>14313</v>
      </c>
      <c r="U29" s="1">
        <v>41819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14995</v>
      </c>
      <c r="Q30" s="117">
        <v>13157</v>
      </c>
      <c r="R30" s="1">
        <v>12246</v>
      </c>
      <c r="S30" s="1">
        <v>18819</v>
      </c>
      <c r="T30" s="1">
        <v>25451</v>
      </c>
      <c r="U30" s="1">
        <v>21896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10477</v>
      </c>
      <c r="Q31" s="117">
        <v>14797</v>
      </c>
      <c r="R31" s="1">
        <v>11126</v>
      </c>
      <c r="S31" s="1">
        <v>13765</v>
      </c>
      <c r="T31" s="1">
        <v>8791</v>
      </c>
      <c r="U31" s="1">
        <v>19873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15150</v>
      </c>
      <c r="Q32" s="117">
        <v>17094</v>
      </c>
      <c r="R32" s="2">
        <v>11538</v>
      </c>
      <c r="S32" s="1">
        <v>22219</v>
      </c>
      <c r="T32" s="1">
        <v>15914</v>
      </c>
      <c r="U32" s="1">
        <v>22594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0</v>
      </c>
      <c r="P33" s="117">
        <v>10344</v>
      </c>
      <c r="Q33" s="117">
        <v>20480</v>
      </c>
      <c r="R33" s="1">
        <v>15072</v>
      </c>
      <c r="S33" s="1">
        <v>16283</v>
      </c>
      <c r="T33" s="1">
        <v>22584</v>
      </c>
      <c r="U33" s="1">
        <v>26777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8163</v>
      </c>
      <c r="P34" s="117">
        <v>12543</v>
      </c>
      <c r="Q34" s="117">
        <v>14653</v>
      </c>
      <c r="R34" s="1">
        <v>13619</v>
      </c>
      <c r="S34" s="1">
        <v>12217</v>
      </c>
      <c r="T34" s="1">
        <v>34089</v>
      </c>
      <c r="U34" s="1">
        <v>16881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7759</v>
      </c>
      <c r="P35" s="95">
        <v>11936</v>
      </c>
      <c r="Q35" s="95">
        <v>9705</v>
      </c>
      <c r="R35" s="1">
        <v>8812</v>
      </c>
      <c r="S35" s="1">
        <v>10852</v>
      </c>
      <c r="T35" s="1">
        <v>12302</v>
      </c>
      <c r="U35" s="1">
        <v>13898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15922</v>
      </c>
      <c r="P36" s="96">
        <f>SUM(P24:P35)</f>
        <v>147229</v>
      </c>
      <c r="Q36" s="96">
        <f>SUM(Q24:Q35)</f>
        <v>159914</v>
      </c>
      <c r="R36" s="126">
        <f t="shared" ref="R36" si="2">SUM(R24:R35)</f>
        <v>133061</v>
      </c>
      <c r="S36" s="126">
        <f>SUM(S24:S35)</f>
        <v>201185</v>
      </c>
      <c r="T36" s="126">
        <f t="shared" ref="T36" si="3">SUM(T24:T35)</f>
        <v>189448</v>
      </c>
      <c r="U36" s="126">
        <f>SUM(U24:U35)</f>
        <v>233079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406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-316</v>
      </c>
      <c r="R42" s="1">
        <v>-303</v>
      </c>
      <c r="S42" s="1">
        <v>-4894</v>
      </c>
      <c r="T42" s="1">
        <v>-10317</v>
      </c>
      <c r="U42" s="1">
        <v>-178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-187</v>
      </c>
      <c r="R43" s="1">
        <v>-1067</v>
      </c>
      <c r="S43" s="117">
        <v>0</v>
      </c>
      <c r="T43" s="1">
        <v>-7915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-121</v>
      </c>
      <c r="Q44" s="117">
        <v>-4239</v>
      </c>
      <c r="R44" s="117">
        <v>0</v>
      </c>
      <c r="S44" s="117">
        <v>-763</v>
      </c>
      <c r="T44" s="1">
        <v>-867</v>
      </c>
      <c r="U44" s="1">
        <v>-1547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">
        <v>-266</v>
      </c>
      <c r="S45" s="117">
        <v>0</v>
      </c>
      <c r="T45" s="1">
        <v>0</v>
      </c>
      <c r="U45" s="117">
        <v>-2792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-1192</v>
      </c>
      <c r="S46" s="117">
        <v>0</v>
      </c>
      <c r="T46" s="1">
        <v>-1012</v>
      </c>
      <c r="U46" s="117">
        <v>-1237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-2133</v>
      </c>
      <c r="R47" s="1">
        <v>-2397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">
        <v>-22</v>
      </c>
      <c r="S48" s="1">
        <v>-5481</v>
      </c>
      <c r="T48" s="1">
        <v>-3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">
        <v>-1192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-2</v>
      </c>
      <c r="Q50" s="117">
        <v>-114</v>
      </c>
      <c r="R50" s="117">
        <v>0</v>
      </c>
      <c r="S50" s="117">
        <v>0</v>
      </c>
      <c r="T50" s="1">
        <v>-9281</v>
      </c>
      <c r="U50" s="1">
        <v>-8399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">
        <v>-3136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-1045</v>
      </c>
      <c r="R52" s="1">
        <v>-5933</v>
      </c>
      <c r="S52" s="117">
        <v>0</v>
      </c>
      <c r="T52" s="1">
        <v>-970</v>
      </c>
      <c r="U52" s="117">
        <v>-671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-16662</v>
      </c>
      <c r="Q53" s="168">
        <v>0</v>
      </c>
      <c r="R53" s="168">
        <v>0</v>
      </c>
      <c r="S53" s="1">
        <v>-5505</v>
      </c>
      <c r="T53" s="1">
        <v>0</v>
      </c>
      <c r="U53" s="1">
        <v>-5064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-16785</v>
      </c>
      <c r="Q54" s="96">
        <f>SUM(Q42:Q53)</f>
        <v>-8034</v>
      </c>
      <c r="R54" s="126">
        <f t="shared" ref="R54" si="4">SUM(R42:R53)</f>
        <v>-12372</v>
      </c>
      <c r="S54" s="126">
        <f>SUM(S42:S53)</f>
        <v>-16643</v>
      </c>
      <c r="T54" s="126">
        <f t="shared" ref="T54" si="5">SUM(T42:T53)</f>
        <v>-30365</v>
      </c>
      <c r="U54" s="126">
        <f>SUM(U42:U53)</f>
        <v>-23024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7" max="17" width="8.140625" bestFit="1" customWidth="1"/>
    <col min="18" max="18" width="8.28515625" bestFit="1" customWidth="1"/>
    <col min="19" max="19" width="9.28515625" bestFit="1" customWidth="1"/>
  </cols>
  <sheetData>
    <row r="1" spans="1:21" x14ac:dyDescent="0.2">
      <c r="A1" s="121"/>
    </row>
    <row r="2" spans="1:21" x14ac:dyDescent="0.2">
      <c r="A2" s="24" t="s">
        <v>311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7305</v>
      </c>
      <c r="Q5" s="117">
        <v>12005</v>
      </c>
      <c r="R5" s="1">
        <v>9747</v>
      </c>
      <c r="S5" s="1">
        <v>8806</v>
      </c>
      <c r="T5" s="1">
        <v>10854</v>
      </c>
      <c r="U5" s="1">
        <v>11117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6145</v>
      </c>
      <c r="Q6" s="117">
        <v>8872</v>
      </c>
      <c r="R6" s="1">
        <v>6417</v>
      </c>
      <c r="S6" s="1">
        <v>6477</v>
      </c>
      <c r="T6" s="1">
        <v>8486</v>
      </c>
      <c r="U6" s="1">
        <v>9119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4798</v>
      </c>
      <c r="Q7" s="117">
        <v>6032</v>
      </c>
      <c r="R7" s="117">
        <v>6000</v>
      </c>
      <c r="S7" s="1">
        <v>6154</v>
      </c>
      <c r="T7" s="1">
        <v>7531</v>
      </c>
      <c r="U7" s="1">
        <v>7876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7041</v>
      </c>
      <c r="Q8" s="117">
        <v>8164</v>
      </c>
      <c r="R8" s="1">
        <v>6439</v>
      </c>
      <c r="S8" s="1">
        <v>7024</v>
      </c>
      <c r="T8" s="1">
        <v>8545</v>
      </c>
      <c r="U8" s="1">
        <v>9336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5881</v>
      </c>
      <c r="Q9" s="117">
        <v>6686</v>
      </c>
      <c r="R9" s="1">
        <v>6154</v>
      </c>
      <c r="S9" s="1">
        <v>8616</v>
      </c>
      <c r="T9" s="1">
        <v>9365</v>
      </c>
      <c r="U9" s="1">
        <v>9270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8137</v>
      </c>
      <c r="Q10" s="117">
        <v>7671</v>
      </c>
      <c r="R10" s="151">
        <v>7565</v>
      </c>
      <c r="S10" s="1">
        <v>11043</v>
      </c>
      <c r="T10" s="1">
        <v>11812</v>
      </c>
      <c r="U10" s="1">
        <v>11178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8729</v>
      </c>
      <c r="Q11" s="117">
        <v>9150</v>
      </c>
      <c r="R11" s="1">
        <v>9719</v>
      </c>
      <c r="S11" s="1">
        <v>10348</v>
      </c>
      <c r="T11" s="1">
        <v>13200</v>
      </c>
      <c r="U11" s="1">
        <v>14499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9134</v>
      </c>
      <c r="Q12" s="117">
        <v>9238</v>
      </c>
      <c r="R12" s="1">
        <v>10174</v>
      </c>
      <c r="S12" s="1">
        <v>10647</v>
      </c>
      <c r="T12" s="1">
        <v>12956</v>
      </c>
      <c r="U12" s="1">
        <v>11741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8787</v>
      </c>
      <c r="Q13" s="117">
        <v>9091</v>
      </c>
      <c r="R13" s="2">
        <v>8722</v>
      </c>
      <c r="S13" s="1">
        <v>10382</v>
      </c>
      <c r="T13" s="1">
        <v>10701</v>
      </c>
      <c r="U13" s="1">
        <v>12648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8228</v>
      </c>
      <c r="Q14" s="117">
        <v>8419</v>
      </c>
      <c r="R14" s="1">
        <v>8893</v>
      </c>
      <c r="S14" s="1">
        <v>10908</v>
      </c>
      <c r="T14" s="1">
        <v>11465</v>
      </c>
      <c r="U14" s="1">
        <v>11670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5629</v>
      </c>
      <c r="P15" s="117">
        <v>10920</v>
      </c>
      <c r="Q15" s="117">
        <v>7318</v>
      </c>
      <c r="R15" s="1">
        <v>7990</v>
      </c>
      <c r="S15" s="1">
        <v>8855</v>
      </c>
      <c r="T15" s="1">
        <v>9990</v>
      </c>
      <c r="U15" s="1">
        <v>10763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7257</v>
      </c>
      <c r="P16" s="95">
        <v>12463</v>
      </c>
      <c r="Q16" s="95">
        <v>7095</v>
      </c>
      <c r="R16" s="1">
        <v>9803</v>
      </c>
      <c r="S16" s="1">
        <v>11514</v>
      </c>
      <c r="T16" s="1">
        <v>10380</v>
      </c>
      <c r="U16" s="1">
        <v>11193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12886</v>
      </c>
      <c r="P17" s="96">
        <f>SUM(P5:P16)</f>
        <v>97568</v>
      </c>
      <c r="Q17" s="96">
        <f>SUM(Q5:Q16)</f>
        <v>99741</v>
      </c>
      <c r="R17" s="126">
        <f t="shared" ref="R17" si="0">SUM(R5:R16)</f>
        <v>97623</v>
      </c>
      <c r="S17" s="126">
        <f>SUM(S5:S16)</f>
        <v>110774</v>
      </c>
      <c r="T17" s="126">
        <f t="shared" ref="T17" si="1">SUM(T5:T16)</f>
        <v>125285</v>
      </c>
      <c r="U17" s="126">
        <f>SUM(U5:U16)</f>
        <v>130410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312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359</v>
      </c>
      <c r="Q24" s="117">
        <v>458</v>
      </c>
      <c r="R24" s="117">
        <v>319</v>
      </c>
      <c r="S24" s="117">
        <v>544</v>
      </c>
      <c r="T24" s="1">
        <v>404</v>
      </c>
      <c r="U24" s="1">
        <v>1595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57</v>
      </c>
      <c r="Q25" s="117">
        <v>654</v>
      </c>
      <c r="R25" s="113">
        <v>126</v>
      </c>
      <c r="S25" s="117">
        <v>319</v>
      </c>
      <c r="T25" s="1">
        <v>322</v>
      </c>
      <c r="U25" s="117">
        <v>388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38</v>
      </c>
      <c r="Q26" s="117">
        <v>387</v>
      </c>
      <c r="R26" s="117">
        <v>305</v>
      </c>
      <c r="S26" s="117">
        <v>662</v>
      </c>
      <c r="T26" s="1">
        <v>507</v>
      </c>
      <c r="U26" s="117">
        <v>100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401</v>
      </c>
      <c r="Q27" s="117">
        <v>231</v>
      </c>
      <c r="R27" s="117">
        <v>255</v>
      </c>
      <c r="S27" s="1">
        <v>1340</v>
      </c>
      <c r="T27" s="1">
        <v>-32</v>
      </c>
      <c r="U27" s="1">
        <v>522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291</v>
      </c>
      <c r="Q28" s="117">
        <v>188</v>
      </c>
      <c r="R28" s="1">
        <v>142</v>
      </c>
      <c r="S28" s="117">
        <v>230</v>
      </c>
      <c r="T28" s="1">
        <v>170</v>
      </c>
      <c r="U28" s="117">
        <v>254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257</v>
      </c>
      <c r="Q29" s="117">
        <v>109</v>
      </c>
      <c r="R29" s="113">
        <v>312</v>
      </c>
      <c r="S29" s="1">
        <v>412</v>
      </c>
      <c r="T29" s="1">
        <v>441</v>
      </c>
      <c r="U29" s="1">
        <v>525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493</v>
      </c>
      <c r="Q30" s="117">
        <v>453</v>
      </c>
      <c r="R30" s="113">
        <v>592</v>
      </c>
      <c r="S30" s="117">
        <v>824</v>
      </c>
      <c r="T30" s="1">
        <v>353</v>
      </c>
      <c r="U30" s="117">
        <v>406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584</v>
      </c>
      <c r="Q31" s="117">
        <v>667</v>
      </c>
      <c r="R31" s="1">
        <v>213</v>
      </c>
      <c r="S31" s="1">
        <v>507</v>
      </c>
      <c r="T31" s="1">
        <v>502</v>
      </c>
      <c r="U31" s="1">
        <v>712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267</v>
      </c>
      <c r="Q32" s="117">
        <v>363</v>
      </c>
      <c r="R32" s="117">
        <v>264</v>
      </c>
      <c r="S32" s="117">
        <v>297</v>
      </c>
      <c r="T32" s="1">
        <v>305</v>
      </c>
      <c r="U32" s="117">
        <v>668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315</v>
      </c>
      <c r="Q33" s="117">
        <v>477</v>
      </c>
      <c r="R33" s="1">
        <v>541</v>
      </c>
      <c r="S33" s="117">
        <v>620</v>
      </c>
      <c r="T33" s="1">
        <v>344</v>
      </c>
      <c r="U33" s="1">
        <v>236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199</v>
      </c>
      <c r="P34" s="117">
        <v>608</v>
      </c>
      <c r="Q34" s="117">
        <v>297</v>
      </c>
      <c r="R34" s="1">
        <v>636</v>
      </c>
      <c r="S34" s="117">
        <v>391</v>
      </c>
      <c r="T34" s="1">
        <v>836</v>
      </c>
      <c r="U34" s="117">
        <v>558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540</v>
      </c>
      <c r="P35" s="95">
        <v>237</v>
      </c>
      <c r="Q35" s="95">
        <v>434</v>
      </c>
      <c r="R35" s="95">
        <v>253</v>
      </c>
      <c r="S35" s="162">
        <v>435</v>
      </c>
      <c r="T35" s="1">
        <v>158</v>
      </c>
      <c r="U35" s="162">
        <v>676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739</v>
      </c>
      <c r="P36" s="96">
        <f>SUM(P24:P35)</f>
        <v>3907</v>
      </c>
      <c r="Q36" s="96">
        <f>SUM(Q24:Q35)</f>
        <v>4718</v>
      </c>
      <c r="R36" s="126">
        <f t="shared" ref="R36" si="2">SUM(R24:R35)</f>
        <v>3958</v>
      </c>
      <c r="S36" s="126">
        <f>SUM(S24:S35)</f>
        <v>6581</v>
      </c>
      <c r="T36" s="126">
        <f t="shared" ref="T36" si="3">SUM(T24:T35)</f>
        <v>4310</v>
      </c>
      <c r="U36" s="126">
        <f>SUM(U24:U35)</f>
        <v>6640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313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-47</v>
      </c>
      <c r="S42" s="117">
        <v>-41</v>
      </c>
      <c r="T42" s="1">
        <v>-184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-2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-47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7">
        <v>0</v>
      </c>
      <c r="S48" s="117">
        <v>0</v>
      </c>
      <c r="T48" s="1">
        <v>-6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-4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-27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-31</v>
      </c>
      <c r="Q54" s="96">
        <f>SUM(Q42:Q53)</f>
        <v>-2</v>
      </c>
      <c r="R54" s="126">
        <f t="shared" ref="R54" si="4">SUM(R42:R53)</f>
        <v>-94</v>
      </c>
      <c r="S54" s="126">
        <f>SUM(S42:S53)</f>
        <v>-41</v>
      </c>
      <c r="T54" s="126">
        <f t="shared" ref="T54" si="5">SUM(T42:T53)</f>
        <v>-190</v>
      </c>
      <c r="U54" s="126">
        <f>SUM(U42:U53)</f>
        <v>0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U108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7.7109375" bestFit="1" customWidth="1"/>
    <col min="2" max="8" width="10.7109375" bestFit="1" customWidth="1"/>
    <col min="9" max="11" width="10.140625" bestFit="1" customWidth="1"/>
    <col min="12" max="21" width="10.7109375" bestFit="1" customWidth="1"/>
  </cols>
  <sheetData>
    <row r="1" spans="1:21" x14ac:dyDescent="0.2">
      <c r="A1" s="24"/>
    </row>
    <row r="2" spans="1:21" x14ac:dyDescent="0.2">
      <c r="A2" s="24" t="s">
        <v>33</v>
      </c>
      <c r="B2" s="148">
        <v>5.0000000000000001E-3</v>
      </c>
      <c r="C2" s="94" t="s">
        <v>186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402333.35</v>
      </c>
      <c r="C5" s="1">
        <v>423341.49</v>
      </c>
      <c r="D5" s="2">
        <v>425052.91</v>
      </c>
      <c r="E5" s="2">
        <v>444697.33</v>
      </c>
      <c r="F5" s="2">
        <v>454129.46</v>
      </c>
      <c r="G5" s="2">
        <v>474565</v>
      </c>
      <c r="H5" s="2">
        <v>424024</v>
      </c>
      <c r="I5" s="2">
        <v>452375</v>
      </c>
      <c r="J5" s="2">
        <v>470005</v>
      </c>
      <c r="K5" s="2">
        <v>480742</v>
      </c>
      <c r="L5" s="102">
        <v>472443</v>
      </c>
      <c r="M5" s="117">
        <v>476587</v>
      </c>
      <c r="N5" s="117">
        <v>534683</v>
      </c>
      <c r="O5" s="117">
        <v>515547</v>
      </c>
      <c r="P5" s="117">
        <v>496604</v>
      </c>
      <c r="Q5" s="117">
        <v>515245</v>
      </c>
      <c r="R5" s="1">
        <v>545591</v>
      </c>
      <c r="S5" s="1">
        <v>517964</v>
      </c>
      <c r="T5" s="1">
        <v>546616</v>
      </c>
      <c r="U5" s="1">
        <v>610383</v>
      </c>
    </row>
    <row r="6" spans="1:21" x14ac:dyDescent="0.2">
      <c r="A6" s="26" t="s">
        <v>1</v>
      </c>
      <c r="B6" s="1">
        <v>275334.40000000002</v>
      </c>
      <c r="C6" s="1">
        <v>261312.78</v>
      </c>
      <c r="D6" s="2">
        <v>269662.38</v>
      </c>
      <c r="E6" s="2">
        <v>290633.34000000003</v>
      </c>
      <c r="F6" s="2">
        <f>364179.45+28</f>
        <v>364207.45</v>
      </c>
      <c r="G6" s="2">
        <v>358158</v>
      </c>
      <c r="H6" s="2">
        <v>287954</v>
      </c>
      <c r="I6" s="2">
        <v>320160</v>
      </c>
      <c r="J6" s="2">
        <v>338125</v>
      </c>
      <c r="K6" s="2">
        <v>350838</v>
      </c>
      <c r="L6" s="102">
        <v>386976</v>
      </c>
      <c r="M6" s="117">
        <v>379865</v>
      </c>
      <c r="N6" s="117">
        <v>390339</v>
      </c>
      <c r="O6" s="117">
        <v>362835</v>
      </c>
      <c r="P6" s="117">
        <v>379754</v>
      </c>
      <c r="Q6" s="117">
        <v>383928</v>
      </c>
      <c r="R6" s="1">
        <v>392007</v>
      </c>
      <c r="S6" s="1">
        <v>423476</v>
      </c>
      <c r="T6" s="1">
        <v>457892</v>
      </c>
      <c r="U6" s="1">
        <v>504232</v>
      </c>
    </row>
    <row r="7" spans="1:21" x14ac:dyDescent="0.2">
      <c r="A7" s="26" t="s">
        <v>2</v>
      </c>
      <c r="B7" s="1">
        <v>251128.25</v>
      </c>
      <c r="C7" s="1">
        <v>392141.1</v>
      </c>
      <c r="D7" s="2">
        <v>265464.64</v>
      </c>
      <c r="E7" s="2">
        <v>273446.46999999997</v>
      </c>
      <c r="F7" s="2">
        <f>308261.11</f>
        <v>308261.11</v>
      </c>
      <c r="G7" s="2">
        <v>314843</v>
      </c>
      <c r="H7" s="2">
        <v>284152</v>
      </c>
      <c r="I7" s="2">
        <v>317904</v>
      </c>
      <c r="J7" s="2">
        <v>335495</v>
      </c>
      <c r="K7" s="2">
        <v>328953</v>
      </c>
      <c r="L7" s="106">
        <v>341991</v>
      </c>
      <c r="M7" s="117">
        <v>372665</v>
      </c>
      <c r="N7" s="117">
        <v>359554</v>
      </c>
      <c r="O7" s="117">
        <v>335808</v>
      </c>
      <c r="P7" s="117">
        <v>341290</v>
      </c>
      <c r="Q7" s="117">
        <v>338078</v>
      </c>
      <c r="R7" s="1">
        <v>386702</v>
      </c>
      <c r="S7" s="1">
        <v>384529</v>
      </c>
      <c r="T7" s="1">
        <v>455891</v>
      </c>
      <c r="U7" s="1">
        <v>472648</v>
      </c>
    </row>
    <row r="8" spans="1:21" x14ac:dyDescent="0.2">
      <c r="A8" s="26" t="s">
        <v>3</v>
      </c>
      <c r="B8" s="1">
        <v>290085.03000000003</v>
      </c>
      <c r="C8" s="1">
        <v>303766.65000000002</v>
      </c>
      <c r="D8" s="2">
        <v>316353.05</v>
      </c>
      <c r="E8" s="2">
        <v>342663.54</v>
      </c>
      <c r="F8" s="2">
        <v>331678.09000000003</v>
      </c>
      <c r="G8" s="2">
        <v>328980</v>
      </c>
      <c r="H8" s="2">
        <v>363935</v>
      </c>
      <c r="I8" s="2">
        <v>344027</v>
      </c>
      <c r="J8" s="2">
        <v>387921</v>
      </c>
      <c r="K8" s="2">
        <v>372543</v>
      </c>
      <c r="L8" s="106">
        <v>384508</v>
      </c>
      <c r="M8" s="117">
        <v>423749</v>
      </c>
      <c r="N8" s="117">
        <v>422118</v>
      </c>
      <c r="O8" s="117">
        <v>405916</v>
      </c>
      <c r="P8" s="117">
        <v>432008</v>
      </c>
      <c r="Q8" s="117">
        <v>432712</v>
      </c>
      <c r="R8" s="1">
        <v>392427</v>
      </c>
      <c r="S8" s="1">
        <v>511006</v>
      </c>
      <c r="T8" s="1">
        <v>525700</v>
      </c>
      <c r="U8" s="1">
        <v>621169</v>
      </c>
    </row>
    <row r="9" spans="1:21" x14ac:dyDescent="0.2">
      <c r="A9" s="26" t="s">
        <v>4</v>
      </c>
      <c r="B9" s="1">
        <v>289301.53999999998</v>
      </c>
      <c r="C9" s="1">
        <v>306687.48</v>
      </c>
      <c r="D9" s="2">
        <v>300426.39</v>
      </c>
      <c r="E9" s="2">
        <v>322414.11</v>
      </c>
      <c r="F9" s="2">
        <f>328808.1-1664</f>
        <v>327144.09999999998</v>
      </c>
      <c r="G9" s="2">
        <v>320939</v>
      </c>
      <c r="H9" s="2">
        <v>320159</v>
      </c>
      <c r="I9" s="2">
        <v>376609</v>
      </c>
      <c r="J9" s="2">
        <v>369596</v>
      </c>
      <c r="K9" s="2">
        <v>355709</v>
      </c>
      <c r="L9" s="106">
        <v>385737</v>
      </c>
      <c r="M9" s="117">
        <v>437437</v>
      </c>
      <c r="N9" s="117">
        <v>413829</v>
      </c>
      <c r="O9" s="117">
        <v>405576</v>
      </c>
      <c r="P9" s="117">
        <v>394006</v>
      </c>
      <c r="Q9" s="117">
        <v>414916</v>
      </c>
      <c r="R9" s="1">
        <v>353873</v>
      </c>
      <c r="S9" s="1">
        <v>475985</v>
      </c>
      <c r="T9" s="1">
        <v>490013</v>
      </c>
      <c r="U9" s="1">
        <v>531429</v>
      </c>
    </row>
    <row r="10" spans="1:21" x14ac:dyDescent="0.2">
      <c r="A10" s="26" t="s">
        <v>5</v>
      </c>
      <c r="B10" s="1">
        <v>292646.58</v>
      </c>
      <c r="C10" s="1">
        <v>315550.3</v>
      </c>
      <c r="D10" s="2">
        <v>310730.64</v>
      </c>
      <c r="E10" s="2">
        <v>344156.49</v>
      </c>
      <c r="F10" s="2">
        <v>361148.02</v>
      </c>
      <c r="G10" s="2">
        <v>329447</v>
      </c>
      <c r="H10" s="2">
        <v>357007</v>
      </c>
      <c r="I10" s="2">
        <v>373376</v>
      </c>
      <c r="J10" s="2">
        <v>355757</v>
      </c>
      <c r="K10" s="2">
        <v>409575</v>
      </c>
      <c r="L10" s="106">
        <v>401507</v>
      </c>
      <c r="M10" s="117">
        <v>451161</v>
      </c>
      <c r="N10" s="117">
        <v>411386</v>
      </c>
      <c r="O10" s="117">
        <v>422879</v>
      </c>
      <c r="P10" s="117">
        <v>444965</v>
      </c>
      <c r="Q10" s="117">
        <v>436214</v>
      </c>
      <c r="R10" s="1">
        <v>421519</v>
      </c>
      <c r="S10" s="1">
        <v>498176</v>
      </c>
      <c r="T10" s="1">
        <v>676020</v>
      </c>
      <c r="U10" s="1">
        <v>585555</v>
      </c>
    </row>
    <row r="11" spans="1:21" x14ac:dyDescent="0.2">
      <c r="A11" s="26" t="s">
        <v>6</v>
      </c>
      <c r="B11" s="1">
        <v>238928.75</v>
      </c>
      <c r="C11" s="1">
        <v>222792.81</v>
      </c>
      <c r="D11" s="2">
        <v>275047.05</v>
      </c>
      <c r="E11" s="2">
        <f>304042.68+2</f>
        <v>304044.68</v>
      </c>
      <c r="F11" s="2">
        <v>321733</v>
      </c>
      <c r="G11" s="2">
        <v>272391</v>
      </c>
      <c r="H11" s="2">
        <v>343910</v>
      </c>
      <c r="I11" s="2">
        <v>340438</v>
      </c>
      <c r="J11" s="2">
        <v>374160</v>
      </c>
      <c r="K11" s="2">
        <v>348725</v>
      </c>
      <c r="L11" s="106">
        <v>443820</v>
      </c>
      <c r="M11" s="117">
        <v>406009</v>
      </c>
      <c r="N11" s="117">
        <v>382303</v>
      </c>
      <c r="O11" s="117">
        <v>402763</v>
      </c>
      <c r="P11" s="117">
        <v>398894</v>
      </c>
      <c r="Q11" s="117">
        <v>431265</v>
      </c>
      <c r="R11" s="1">
        <v>383135</v>
      </c>
      <c r="S11" s="1">
        <v>500515</v>
      </c>
      <c r="T11" s="1">
        <v>553972</v>
      </c>
      <c r="U11" s="1">
        <v>650906</v>
      </c>
    </row>
    <row r="12" spans="1:21" x14ac:dyDescent="0.2">
      <c r="A12" s="26" t="s">
        <v>7</v>
      </c>
      <c r="B12" s="1">
        <v>380241.12</v>
      </c>
      <c r="C12" s="1">
        <v>398145.32</v>
      </c>
      <c r="D12" s="2">
        <v>381886.85</v>
      </c>
      <c r="E12" s="2">
        <v>372407.79</v>
      </c>
      <c r="F12" s="2">
        <f>375136.24+81</f>
        <v>375217.24</v>
      </c>
      <c r="G12" s="2">
        <v>392063</v>
      </c>
      <c r="H12" s="2">
        <v>385076</v>
      </c>
      <c r="I12" s="2">
        <v>382019</v>
      </c>
      <c r="J12" s="2">
        <v>431683</v>
      </c>
      <c r="K12" s="2">
        <v>449280</v>
      </c>
      <c r="L12" s="106">
        <v>429682</v>
      </c>
      <c r="M12" s="117">
        <v>509661</v>
      </c>
      <c r="N12" s="117">
        <v>465107</v>
      </c>
      <c r="O12" s="117">
        <v>475497</v>
      </c>
      <c r="P12" s="117">
        <v>488078</v>
      </c>
      <c r="Q12" s="117">
        <v>458416</v>
      </c>
      <c r="R12" s="1">
        <v>524474</v>
      </c>
      <c r="S12" s="1">
        <v>546317</v>
      </c>
      <c r="T12" s="1">
        <v>546215</v>
      </c>
      <c r="U12" s="1">
        <v>563288</v>
      </c>
    </row>
    <row r="13" spans="1:21" x14ac:dyDescent="0.2">
      <c r="A13" s="26" t="s">
        <v>8</v>
      </c>
      <c r="B13" s="1">
        <v>300536.08</v>
      </c>
      <c r="C13" s="1">
        <v>314942.52</v>
      </c>
      <c r="D13" s="2">
        <v>342225.23</v>
      </c>
      <c r="E13" s="2">
        <v>356363.1</v>
      </c>
      <c r="F13" s="2">
        <v>349861.26</v>
      </c>
      <c r="G13" s="2">
        <v>315188</v>
      </c>
      <c r="H13" s="2">
        <v>374196</v>
      </c>
      <c r="I13" s="2">
        <v>428869</v>
      </c>
      <c r="J13" s="2">
        <v>423812</v>
      </c>
      <c r="K13" s="2">
        <v>425547</v>
      </c>
      <c r="L13" s="106">
        <v>414896</v>
      </c>
      <c r="M13" s="117">
        <v>433393</v>
      </c>
      <c r="N13" s="117">
        <v>435157</v>
      </c>
      <c r="O13" s="117">
        <v>432310</v>
      </c>
      <c r="P13" s="117">
        <v>449665</v>
      </c>
      <c r="Q13" s="117">
        <v>458624</v>
      </c>
      <c r="R13" s="2">
        <v>445113</v>
      </c>
      <c r="S13" s="1">
        <v>514631</v>
      </c>
      <c r="T13" s="1">
        <v>571988</v>
      </c>
      <c r="U13" s="1">
        <v>584883</v>
      </c>
    </row>
    <row r="14" spans="1:21" x14ac:dyDescent="0.2">
      <c r="A14" s="26" t="s">
        <v>9</v>
      </c>
      <c r="B14" s="1">
        <v>319787.33</v>
      </c>
      <c r="C14" s="1">
        <v>319579.49</v>
      </c>
      <c r="D14" s="2">
        <v>337444.93</v>
      </c>
      <c r="E14" s="2">
        <f>359616.99+109</f>
        <v>359725.99</v>
      </c>
      <c r="F14" s="1">
        <f>353091.08+3081.62+360-420</f>
        <v>356112.7</v>
      </c>
      <c r="G14" s="2">
        <v>391375</v>
      </c>
      <c r="H14" s="2">
        <v>381568</v>
      </c>
      <c r="I14" s="2">
        <v>399568</v>
      </c>
      <c r="J14" s="2">
        <v>390133</v>
      </c>
      <c r="K14" s="2">
        <v>405808</v>
      </c>
      <c r="L14" s="106">
        <v>423824</v>
      </c>
      <c r="M14" s="117">
        <v>434607</v>
      </c>
      <c r="N14" s="117">
        <v>412432</v>
      </c>
      <c r="O14" s="117">
        <v>426677</v>
      </c>
      <c r="P14" s="117">
        <v>440776</v>
      </c>
      <c r="Q14" s="117">
        <v>439926</v>
      </c>
      <c r="R14" s="1">
        <v>456763</v>
      </c>
      <c r="S14" s="1">
        <v>534062</v>
      </c>
      <c r="T14" s="1">
        <v>563406</v>
      </c>
      <c r="U14" s="1">
        <v>586518</v>
      </c>
    </row>
    <row r="15" spans="1:21" x14ac:dyDescent="0.2">
      <c r="A15" s="26" t="s">
        <v>10</v>
      </c>
      <c r="B15" s="1">
        <v>294406.86</v>
      </c>
      <c r="C15" s="1">
        <v>304427.52000000002</v>
      </c>
      <c r="D15" s="2">
        <v>309142.2</v>
      </c>
      <c r="E15" s="2">
        <v>347316.47999999998</v>
      </c>
      <c r="F15" s="2"/>
      <c r="G15" s="2">
        <v>324966</v>
      </c>
      <c r="H15" s="2">
        <v>370470</v>
      </c>
      <c r="I15" s="2">
        <v>378298</v>
      </c>
      <c r="J15" s="2">
        <v>372401</v>
      </c>
      <c r="K15" s="2">
        <v>385719</v>
      </c>
      <c r="L15" s="106">
        <v>412070</v>
      </c>
      <c r="M15" s="117">
        <v>440456</v>
      </c>
      <c r="N15" s="117">
        <v>424563</v>
      </c>
      <c r="O15" s="117">
        <v>448964</v>
      </c>
      <c r="P15" s="117">
        <v>452578</v>
      </c>
      <c r="Q15" s="117">
        <v>457177</v>
      </c>
      <c r="R15" s="1">
        <v>440825</v>
      </c>
      <c r="S15" s="1">
        <v>506647</v>
      </c>
      <c r="T15" s="1">
        <v>555695</v>
      </c>
      <c r="U15" s="1">
        <v>570317</v>
      </c>
    </row>
    <row r="16" spans="1:21" x14ac:dyDescent="0.2">
      <c r="A16" s="26" t="s">
        <v>11</v>
      </c>
      <c r="B16" s="39">
        <v>316073.27</v>
      </c>
      <c r="C16" s="39">
        <v>307146.01</v>
      </c>
      <c r="D16" s="39">
        <v>359595.91</v>
      </c>
      <c r="E16" s="39">
        <v>343938.32</v>
      </c>
      <c r="F16" s="39">
        <v>583400</v>
      </c>
      <c r="G16" s="40">
        <v>348759</v>
      </c>
      <c r="H16" s="40">
        <v>379053</v>
      </c>
      <c r="I16" s="40">
        <v>378723</v>
      </c>
      <c r="J16" s="40">
        <v>390910</v>
      </c>
      <c r="K16" s="40">
        <v>415135</v>
      </c>
      <c r="L16" s="40">
        <v>424147</v>
      </c>
      <c r="M16" s="95">
        <v>425488</v>
      </c>
      <c r="N16" s="95">
        <v>417049</v>
      </c>
      <c r="O16" s="95">
        <v>410327</v>
      </c>
      <c r="P16" s="95">
        <v>490397</v>
      </c>
      <c r="Q16" s="95">
        <v>449028</v>
      </c>
      <c r="R16" s="1">
        <v>452330</v>
      </c>
      <c r="S16" s="1">
        <v>484552</v>
      </c>
      <c r="T16" s="1">
        <v>642002</v>
      </c>
      <c r="U16" s="1">
        <v>800059</v>
      </c>
    </row>
    <row r="17" spans="1:21" x14ac:dyDescent="0.2">
      <c r="A17" s="25"/>
      <c r="B17" s="41">
        <f t="shared" ref="B17:J17" si="0">SUM(B5:B16)</f>
        <v>3650802.56</v>
      </c>
      <c r="C17" s="41">
        <f t="shared" si="0"/>
        <v>3869833.4699999997</v>
      </c>
      <c r="D17" s="41">
        <f t="shared" si="0"/>
        <v>3893032.1800000006</v>
      </c>
      <c r="E17" s="41">
        <f t="shared" si="0"/>
        <v>4101807.6399999997</v>
      </c>
      <c r="F17" s="41">
        <f t="shared" si="0"/>
        <v>4132892.4299999997</v>
      </c>
      <c r="G17" s="41">
        <f t="shared" si="0"/>
        <v>4171674</v>
      </c>
      <c r="H17" s="41">
        <f t="shared" si="0"/>
        <v>4271504</v>
      </c>
      <c r="I17" s="44">
        <f t="shared" si="0"/>
        <v>4492366</v>
      </c>
      <c r="J17" s="44">
        <f t="shared" si="0"/>
        <v>4639998</v>
      </c>
      <c r="K17" s="44">
        <f t="shared" ref="K17:P17" si="1">SUM(K5:K16)</f>
        <v>4728574</v>
      </c>
      <c r="L17" s="96">
        <f t="shared" si="1"/>
        <v>4921601</v>
      </c>
      <c r="M17" s="96">
        <f t="shared" si="1"/>
        <v>5191078</v>
      </c>
      <c r="N17" s="96">
        <f t="shared" si="1"/>
        <v>5068520</v>
      </c>
      <c r="O17" s="96">
        <f t="shared" si="1"/>
        <v>5045099</v>
      </c>
      <c r="P17" s="96">
        <f t="shared" si="1"/>
        <v>5209015</v>
      </c>
      <c r="Q17" s="96">
        <f t="shared" ref="Q17:S17" si="2">SUM(Q5:Q16)</f>
        <v>5215529</v>
      </c>
      <c r="R17" s="126">
        <f t="shared" ref="R17" si="3">SUM(R5:R16)</f>
        <v>5194759</v>
      </c>
      <c r="S17" s="126">
        <f t="shared" si="2"/>
        <v>5897860</v>
      </c>
      <c r="T17" s="126">
        <f t="shared" ref="T17:U17" si="4">SUM(T5:T16)</f>
        <v>6585410</v>
      </c>
      <c r="U17" s="126">
        <f t="shared" si="4"/>
        <v>7081387</v>
      </c>
    </row>
    <row r="18" spans="1:21" x14ac:dyDescent="0.2">
      <c r="A18" s="26"/>
      <c r="B18" s="2"/>
      <c r="C18" s="173"/>
      <c r="D18" s="173"/>
      <c r="E18" s="173"/>
      <c r="F18" s="173"/>
      <c r="G18" s="173"/>
      <c r="H18" s="173"/>
      <c r="I18" s="173"/>
      <c r="J18" s="173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</row>
    <row r="19" spans="1:21" x14ac:dyDescent="0.2">
      <c r="A19" s="25"/>
      <c r="B19" s="2"/>
      <c r="C19" s="2"/>
      <c r="D19" s="2"/>
      <c r="E19" s="2"/>
      <c r="F19" s="35" t="s">
        <v>110</v>
      </c>
      <c r="G19" s="2"/>
      <c r="H19" s="2"/>
      <c r="L19" s="94"/>
    </row>
    <row r="20" spans="1:21" x14ac:dyDescent="0.2">
      <c r="A20" s="24"/>
      <c r="B20" s="2"/>
      <c r="C20" s="2"/>
      <c r="D20" s="2"/>
      <c r="E20" s="2"/>
      <c r="F20" s="35" t="s">
        <v>111</v>
      </c>
      <c r="G20" s="2"/>
      <c r="H20" s="2"/>
      <c r="L20" s="94"/>
    </row>
    <row r="21" spans="1:21" x14ac:dyDescent="0.2">
      <c r="A21" s="24" t="s">
        <v>32</v>
      </c>
      <c r="B21" s="148">
        <v>5.0000000000000001E-3</v>
      </c>
      <c r="C21" s="107" t="s">
        <v>187</v>
      </c>
      <c r="D21" s="2"/>
      <c r="E21" s="2"/>
      <c r="F21" s="2"/>
      <c r="G21" s="2"/>
      <c r="H21" s="2"/>
      <c r="L21" s="94"/>
    </row>
    <row r="22" spans="1:21" x14ac:dyDescent="0.2">
      <c r="A22" s="25"/>
      <c r="B22" s="18">
        <v>2004</v>
      </c>
      <c r="C22" s="18">
        <v>2005</v>
      </c>
      <c r="D22" s="18">
        <v>2006</v>
      </c>
      <c r="E22" s="18">
        <v>2007</v>
      </c>
      <c r="F22" s="18">
        <v>2008</v>
      </c>
      <c r="G22" s="18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B23" s="2"/>
      <c r="C23" s="2"/>
      <c r="D23" s="2"/>
      <c r="E23" s="2"/>
      <c r="F23" s="2"/>
      <c r="G23" s="2"/>
      <c r="H23" s="2"/>
    </row>
    <row r="24" spans="1:21" x14ac:dyDescent="0.2">
      <c r="A24" s="26" t="s">
        <v>0</v>
      </c>
      <c r="B24" s="1">
        <v>10580.81</v>
      </c>
      <c r="C24" s="1">
        <v>18758.93</v>
      </c>
      <c r="D24" s="2">
        <v>43376.56</v>
      </c>
      <c r="E24" s="2">
        <v>20755.73</v>
      </c>
      <c r="F24" s="2">
        <v>24855.84</v>
      </c>
      <c r="G24" s="2">
        <v>24714</v>
      </c>
      <c r="H24" s="2">
        <v>70129</v>
      </c>
      <c r="I24" s="2">
        <v>18047</v>
      </c>
      <c r="J24" s="2">
        <v>44561</v>
      </c>
      <c r="K24" s="2">
        <v>21556</v>
      </c>
      <c r="L24" s="102">
        <v>23472</v>
      </c>
      <c r="M24" s="117">
        <v>62651</v>
      </c>
      <c r="N24" s="117">
        <v>26525</v>
      </c>
      <c r="O24" s="117">
        <v>27210</v>
      </c>
      <c r="P24" s="117">
        <v>25279</v>
      </c>
      <c r="Q24" s="117">
        <v>26944</v>
      </c>
      <c r="R24" s="1">
        <v>14759</v>
      </c>
      <c r="S24" s="1">
        <v>23022</v>
      </c>
      <c r="T24" s="1">
        <v>22872</v>
      </c>
      <c r="U24" s="1">
        <v>30671</v>
      </c>
    </row>
    <row r="25" spans="1:21" x14ac:dyDescent="0.2">
      <c r="A25" s="26" t="s">
        <v>1</v>
      </c>
      <c r="B25" s="1">
        <v>10828.4</v>
      </c>
      <c r="C25" s="1">
        <v>16869.12</v>
      </c>
      <c r="D25" s="2">
        <v>18967.46</v>
      </c>
      <c r="E25" s="2">
        <v>19632.169999999998</v>
      </c>
      <c r="F25" s="2">
        <v>31783.26</v>
      </c>
      <c r="G25" s="2">
        <v>19724</v>
      </c>
      <c r="H25" s="2">
        <v>10594</v>
      </c>
      <c r="I25" s="2">
        <v>19742</v>
      </c>
      <c r="J25" s="2">
        <v>17311</v>
      </c>
      <c r="K25" s="2">
        <v>25706</v>
      </c>
      <c r="L25" s="102">
        <v>19361</v>
      </c>
      <c r="M25" s="117">
        <v>27080</v>
      </c>
      <c r="N25" s="117">
        <v>17719</v>
      </c>
      <c r="O25" s="117">
        <v>14448</v>
      </c>
      <c r="P25" s="117">
        <v>17600</v>
      </c>
      <c r="Q25" s="117">
        <v>25920</v>
      </c>
      <c r="R25" s="1">
        <v>7481</v>
      </c>
      <c r="S25" s="1">
        <v>15661</v>
      </c>
      <c r="T25" s="1">
        <v>20404</v>
      </c>
      <c r="U25" s="1">
        <v>21098</v>
      </c>
    </row>
    <row r="26" spans="1:21" x14ac:dyDescent="0.2">
      <c r="A26" s="26" t="s">
        <v>2</v>
      </c>
      <c r="B26" s="1">
        <v>12533.93</v>
      </c>
      <c r="C26" s="1">
        <v>-3128</v>
      </c>
      <c r="D26" s="2">
        <v>10959.82</v>
      </c>
      <c r="E26" s="2">
        <v>12783.15</v>
      </c>
      <c r="F26" s="2">
        <v>16631.97</v>
      </c>
      <c r="G26" s="2">
        <v>14346</v>
      </c>
      <c r="H26" s="2">
        <v>33956</v>
      </c>
      <c r="I26" s="2">
        <v>12275</v>
      </c>
      <c r="J26" s="2">
        <v>10377</v>
      </c>
      <c r="K26" s="2">
        <v>15200</v>
      </c>
      <c r="L26" s="102">
        <v>32694</v>
      </c>
      <c r="M26" s="117">
        <v>24514</v>
      </c>
      <c r="N26" s="117">
        <v>32054</v>
      </c>
      <c r="O26" s="117">
        <v>8314</v>
      </c>
      <c r="P26" s="117">
        <v>17083</v>
      </c>
      <c r="Q26" s="117">
        <v>14892</v>
      </c>
      <c r="R26" s="1">
        <v>13565</v>
      </c>
      <c r="S26" s="1">
        <v>12094</v>
      </c>
      <c r="T26" s="1">
        <v>19273</v>
      </c>
      <c r="U26" s="1">
        <v>24807</v>
      </c>
    </row>
    <row r="27" spans="1:21" x14ac:dyDescent="0.2">
      <c r="A27" s="26" t="s">
        <v>3</v>
      </c>
      <c r="B27" s="1">
        <v>9639.49</v>
      </c>
      <c r="C27" s="1">
        <v>20454.57</v>
      </c>
      <c r="D27" s="2">
        <v>18656.77</v>
      </c>
      <c r="E27" s="2">
        <v>18604.04</v>
      </c>
      <c r="F27" s="2">
        <v>29242.92</v>
      </c>
      <c r="G27" s="2">
        <v>10839</v>
      </c>
      <c r="H27" s="2">
        <v>16677</v>
      </c>
      <c r="I27" s="2">
        <v>13706</v>
      </c>
      <c r="J27" s="2">
        <v>16021</v>
      </c>
      <c r="K27" s="2">
        <v>17912</v>
      </c>
      <c r="L27" s="102">
        <v>15111</v>
      </c>
      <c r="M27" s="117">
        <v>24427</v>
      </c>
      <c r="N27" s="117">
        <v>18173</v>
      </c>
      <c r="O27" s="117">
        <v>19741</v>
      </c>
      <c r="P27" s="117">
        <v>20680</v>
      </c>
      <c r="Q27" s="117">
        <v>24822</v>
      </c>
      <c r="R27" s="1">
        <v>14552</v>
      </c>
      <c r="S27" s="1">
        <v>19186</v>
      </c>
      <c r="T27" s="1">
        <v>19253</v>
      </c>
      <c r="U27" s="1">
        <v>20741</v>
      </c>
    </row>
    <row r="28" spans="1:21" x14ac:dyDescent="0.2">
      <c r="A28" s="26" t="s">
        <v>4</v>
      </c>
      <c r="B28" s="1">
        <v>11193</v>
      </c>
      <c r="C28" s="1">
        <v>25814.76</v>
      </c>
      <c r="D28" s="2">
        <v>12080.73</v>
      </c>
      <c r="E28" s="2">
        <v>12298.85</v>
      </c>
      <c r="F28" s="2">
        <v>24536.14</v>
      </c>
      <c r="G28" s="2">
        <v>18316</v>
      </c>
      <c r="H28" s="2">
        <v>11129</v>
      </c>
      <c r="I28" s="2">
        <v>18119</v>
      </c>
      <c r="J28" s="2">
        <v>10553</v>
      </c>
      <c r="K28" s="2">
        <v>15025</v>
      </c>
      <c r="L28" s="102">
        <v>28674</v>
      </c>
      <c r="M28" s="117">
        <v>40752</v>
      </c>
      <c r="N28" s="117">
        <v>15692</v>
      </c>
      <c r="O28" s="117">
        <v>16173</v>
      </c>
      <c r="P28" s="117">
        <v>17593</v>
      </c>
      <c r="Q28" s="117">
        <v>18022</v>
      </c>
      <c r="R28" s="1">
        <v>-6095</v>
      </c>
      <c r="S28" s="1">
        <v>14698</v>
      </c>
      <c r="T28" s="1">
        <v>21781</v>
      </c>
      <c r="U28" s="1">
        <v>23179</v>
      </c>
    </row>
    <row r="29" spans="1:21" x14ac:dyDescent="0.2">
      <c r="A29" s="26" t="s">
        <v>5</v>
      </c>
      <c r="B29" s="1">
        <v>10635.14</v>
      </c>
      <c r="C29" s="1">
        <v>27039.65</v>
      </c>
      <c r="D29" s="2">
        <v>12518.48</v>
      </c>
      <c r="E29" s="2">
        <v>40304.33</v>
      </c>
      <c r="F29" s="2">
        <v>12018.18</v>
      </c>
      <c r="G29" s="2">
        <v>14571</v>
      </c>
      <c r="H29" s="2">
        <v>11824</v>
      </c>
      <c r="I29" s="2">
        <v>14357</v>
      </c>
      <c r="J29" s="2">
        <v>20219</v>
      </c>
      <c r="K29" s="2">
        <v>23063</v>
      </c>
      <c r="L29" s="102">
        <v>16423</v>
      </c>
      <c r="M29" s="117">
        <v>16069</v>
      </c>
      <c r="N29" s="117">
        <v>12761</v>
      </c>
      <c r="O29" s="117">
        <v>14638</v>
      </c>
      <c r="P29" s="117">
        <v>21145</v>
      </c>
      <c r="Q29" s="117">
        <v>19555</v>
      </c>
      <c r="R29" s="1">
        <v>12925</v>
      </c>
      <c r="S29" s="1">
        <v>17217</v>
      </c>
      <c r="T29" s="1">
        <v>20100</v>
      </c>
      <c r="U29" s="1">
        <v>19213</v>
      </c>
    </row>
    <row r="30" spans="1:21" x14ac:dyDescent="0.2">
      <c r="A30" s="26" t="s">
        <v>6</v>
      </c>
      <c r="B30" s="1">
        <v>12708.72</v>
      </c>
      <c r="C30" s="1">
        <v>29328.26</v>
      </c>
      <c r="D30" s="2">
        <v>22312.06</v>
      </c>
      <c r="E30" s="2">
        <v>23951.57</v>
      </c>
      <c r="F30" s="2">
        <v>15363</v>
      </c>
      <c r="G30" s="2">
        <v>15488</v>
      </c>
      <c r="H30" s="2">
        <v>19228</v>
      </c>
      <c r="I30" s="2">
        <v>22450</v>
      </c>
      <c r="J30" s="2">
        <v>18483</v>
      </c>
      <c r="K30" s="2">
        <v>16329</v>
      </c>
      <c r="L30" s="102">
        <v>20341</v>
      </c>
      <c r="M30" s="117">
        <v>22410</v>
      </c>
      <c r="N30" s="117">
        <v>19075</v>
      </c>
      <c r="O30" s="117">
        <v>19734</v>
      </c>
      <c r="P30" s="117">
        <v>24931</v>
      </c>
      <c r="Q30" s="117">
        <v>14504</v>
      </c>
      <c r="R30" s="1">
        <v>14751</v>
      </c>
      <c r="S30" s="1">
        <v>24614</v>
      </c>
      <c r="T30" s="1">
        <v>31555</v>
      </c>
      <c r="U30" s="1">
        <v>27506</v>
      </c>
    </row>
    <row r="31" spans="1:21" x14ac:dyDescent="0.2">
      <c r="A31" s="26" t="s">
        <v>7</v>
      </c>
      <c r="B31" s="1">
        <v>14039.07</v>
      </c>
      <c r="C31" s="1">
        <v>21011.16</v>
      </c>
      <c r="D31" s="2">
        <v>20906.79</v>
      </c>
      <c r="E31" s="2">
        <v>15900.48</v>
      </c>
      <c r="F31" s="2">
        <v>27391.63</v>
      </c>
      <c r="G31" s="2">
        <v>19791</v>
      </c>
      <c r="H31" s="2">
        <v>20565</v>
      </c>
      <c r="I31" s="2">
        <v>16145</v>
      </c>
      <c r="J31" s="2">
        <v>16225</v>
      </c>
      <c r="K31" s="2">
        <v>31057</v>
      </c>
      <c r="L31" s="102">
        <v>13566</v>
      </c>
      <c r="M31" s="117">
        <v>39971</v>
      </c>
      <c r="N31" s="117">
        <v>33472</v>
      </c>
      <c r="O31" s="117">
        <v>20567</v>
      </c>
      <c r="P31" s="117">
        <v>23038</v>
      </c>
      <c r="Q31" s="117">
        <v>22290</v>
      </c>
      <c r="R31" s="1">
        <v>16330</v>
      </c>
      <c r="S31" s="1">
        <v>21601</v>
      </c>
      <c r="T31" s="1">
        <v>21541</v>
      </c>
      <c r="U31" s="1">
        <v>23878</v>
      </c>
    </row>
    <row r="32" spans="1:21" x14ac:dyDescent="0.2">
      <c r="A32" s="26" t="s">
        <v>8</v>
      </c>
      <c r="B32" s="1">
        <v>25219.59</v>
      </c>
      <c r="C32" s="1">
        <v>92005.18</v>
      </c>
      <c r="D32" s="2">
        <v>15847.2</v>
      </c>
      <c r="E32" s="2">
        <v>12066.62</v>
      </c>
      <c r="F32" s="2">
        <v>15591.64</v>
      </c>
      <c r="G32" s="2">
        <v>15061</v>
      </c>
      <c r="H32" s="2">
        <v>15347</v>
      </c>
      <c r="I32" s="2">
        <v>28200</v>
      </c>
      <c r="J32" s="2">
        <v>18960</v>
      </c>
      <c r="K32" s="2">
        <v>13073</v>
      </c>
      <c r="L32" s="102">
        <v>17546</v>
      </c>
      <c r="M32" s="117">
        <v>22837</v>
      </c>
      <c r="N32" s="117">
        <v>15454</v>
      </c>
      <c r="O32" s="117">
        <v>29431</v>
      </c>
      <c r="P32" s="117">
        <v>19184</v>
      </c>
      <c r="Q32" s="117">
        <v>17181</v>
      </c>
      <c r="R32" s="2">
        <v>17880</v>
      </c>
      <c r="S32" s="1">
        <v>14285</v>
      </c>
      <c r="T32" s="1">
        <v>23419</v>
      </c>
      <c r="U32" s="1">
        <v>25550</v>
      </c>
    </row>
    <row r="33" spans="1:21" x14ac:dyDescent="0.2">
      <c r="A33" s="26" t="s">
        <v>9</v>
      </c>
      <c r="B33" s="1">
        <v>14040.28</v>
      </c>
      <c r="C33" s="1">
        <v>26765.81</v>
      </c>
      <c r="D33" s="2">
        <v>30800.71</v>
      </c>
      <c r="E33" s="2">
        <f>21150.81-109</f>
        <v>21041.81</v>
      </c>
      <c r="F33" s="2">
        <f>25852.42+102.8</f>
        <v>25955.219999999998</v>
      </c>
      <c r="G33" s="2">
        <v>29099</v>
      </c>
      <c r="H33" s="2">
        <v>15367</v>
      </c>
      <c r="I33" s="2">
        <v>19403</v>
      </c>
      <c r="J33" s="2">
        <v>15729</v>
      </c>
      <c r="K33" s="2">
        <v>22222</v>
      </c>
      <c r="L33" s="102">
        <v>30308</v>
      </c>
      <c r="M33" s="117">
        <v>25109</v>
      </c>
      <c r="N33" s="117">
        <v>21282</v>
      </c>
      <c r="O33" s="117">
        <v>26303</v>
      </c>
      <c r="P33" s="117">
        <v>27387</v>
      </c>
      <c r="Q33" s="117">
        <v>21148</v>
      </c>
      <c r="R33" s="1">
        <v>19450</v>
      </c>
      <c r="S33" s="1">
        <v>17037</v>
      </c>
      <c r="T33" s="1">
        <v>38025</v>
      </c>
      <c r="U33" s="1">
        <v>22394</v>
      </c>
    </row>
    <row r="34" spans="1:21" x14ac:dyDescent="0.2">
      <c r="A34" s="26" t="s">
        <v>10</v>
      </c>
      <c r="B34" s="1">
        <v>15688.01</v>
      </c>
      <c r="C34" s="1">
        <v>20565.88</v>
      </c>
      <c r="D34" s="2">
        <v>16857.72</v>
      </c>
      <c r="E34" s="2">
        <v>14663.16</v>
      </c>
      <c r="F34" s="2"/>
      <c r="G34" s="2">
        <v>14736</v>
      </c>
      <c r="H34" s="2">
        <v>12479</v>
      </c>
      <c r="I34" s="2">
        <v>14665</v>
      </c>
      <c r="J34" s="2">
        <v>29383</v>
      </c>
      <c r="K34" s="2">
        <v>22835</v>
      </c>
      <c r="L34" s="102">
        <v>29045</v>
      </c>
      <c r="M34" s="117">
        <v>16648</v>
      </c>
      <c r="N34" s="117">
        <v>14452</v>
      </c>
      <c r="O34" s="117">
        <v>18324</v>
      </c>
      <c r="P34" s="117">
        <v>23081</v>
      </c>
      <c r="Q34" s="117">
        <v>20750</v>
      </c>
      <c r="R34" s="1">
        <v>15525</v>
      </c>
      <c r="S34" s="1">
        <v>19348</v>
      </c>
      <c r="T34" s="1">
        <v>21202</v>
      </c>
      <c r="U34" s="1">
        <v>25585</v>
      </c>
    </row>
    <row r="35" spans="1:21" x14ac:dyDescent="0.2">
      <c r="A35" s="26" t="s">
        <v>11</v>
      </c>
      <c r="B35" s="39">
        <v>12495.94</v>
      </c>
      <c r="C35" s="39">
        <v>220707.62</v>
      </c>
      <c r="D35" s="39">
        <v>12112.55</v>
      </c>
      <c r="E35" s="39">
        <v>20545.97</v>
      </c>
      <c r="F35" s="39">
        <v>32237</v>
      </c>
      <c r="G35" s="40">
        <v>13044</v>
      </c>
      <c r="H35" s="40">
        <v>12153</v>
      </c>
      <c r="I35" s="40">
        <v>12945</v>
      </c>
      <c r="J35" s="40">
        <v>24119</v>
      </c>
      <c r="K35" s="40">
        <v>22296</v>
      </c>
      <c r="L35" s="95">
        <v>31914</v>
      </c>
      <c r="M35" s="95">
        <v>15355</v>
      </c>
      <c r="N35" s="95">
        <v>15750</v>
      </c>
      <c r="O35" s="95">
        <v>18376</v>
      </c>
      <c r="P35" s="95">
        <v>24213</v>
      </c>
      <c r="Q35" s="95">
        <v>16191</v>
      </c>
      <c r="R35" s="1">
        <v>14085</v>
      </c>
      <c r="S35" s="1">
        <v>17645</v>
      </c>
      <c r="T35" s="1">
        <v>23420</v>
      </c>
      <c r="U35" s="1">
        <v>24242</v>
      </c>
    </row>
    <row r="36" spans="1:21" x14ac:dyDescent="0.2">
      <c r="A36" s="25"/>
      <c r="B36" s="41">
        <f t="shared" ref="B36:J36" si="5">SUM(B24:B35)</f>
        <v>159602.38</v>
      </c>
      <c r="C36" s="41">
        <f t="shared" si="5"/>
        <v>516192.94</v>
      </c>
      <c r="D36" s="41">
        <f t="shared" si="5"/>
        <v>235396.85</v>
      </c>
      <c r="E36" s="41">
        <f t="shared" si="5"/>
        <v>232547.88</v>
      </c>
      <c r="F36" s="41">
        <f t="shared" si="5"/>
        <v>255606.80000000002</v>
      </c>
      <c r="G36" s="41">
        <f t="shared" si="5"/>
        <v>209729</v>
      </c>
      <c r="H36" s="41">
        <f t="shared" si="5"/>
        <v>249448</v>
      </c>
      <c r="I36" s="44">
        <f t="shared" si="5"/>
        <v>210054</v>
      </c>
      <c r="J36" s="44">
        <f t="shared" si="5"/>
        <v>241941</v>
      </c>
      <c r="K36" s="44">
        <f t="shared" ref="K36:P36" si="6">SUM(K24:K35)</f>
        <v>246274</v>
      </c>
      <c r="L36" s="96">
        <f t="shared" si="6"/>
        <v>278455</v>
      </c>
      <c r="M36" s="96">
        <f t="shared" si="6"/>
        <v>337823</v>
      </c>
      <c r="N36" s="96">
        <f t="shared" si="6"/>
        <v>242409</v>
      </c>
      <c r="O36" s="96">
        <f t="shared" si="6"/>
        <v>233259</v>
      </c>
      <c r="P36" s="96">
        <f t="shared" si="6"/>
        <v>261214</v>
      </c>
      <c r="Q36" s="96">
        <f t="shared" ref="Q36:S36" si="7">SUM(Q24:Q35)</f>
        <v>242219</v>
      </c>
      <c r="R36" s="126">
        <f t="shared" ref="R36" si="8">SUM(R24:R35)</f>
        <v>155208</v>
      </c>
      <c r="S36" s="126">
        <f t="shared" si="7"/>
        <v>216408</v>
      </c>
      <c r="T36" s="126">
        <f t="shared" ref="T36:U36" si="9">SUM(T24:T35)</f>
        <v>282845</v>
      </c>
      <c r="U36" s="126">
        <f t="shared" si="9"/>
        <v>288864</v>
      </c>
    </row>
    <row r="37" spans="1:21" x14ac:dyDescent="0.2">
      <c r="A37" s="25"/>
      <c r="B37" s="2"/>
      <c r="C37" s="2"/>
      <c r="D37" s="2"/>
      <c r="E37" s="2"/>
      <c r="F37" s="2"/>
      <c r="G37" s="2"/>
      <c r="H37" s="2"/>
      <c r="L37" s="94"/>
    </row>
    <row r="38" spans="1:21" x14ac:dyDescent="0.2">
      <c r="A38" s="25"/>
      <c r="B38" s="2"/>
      <c r="C38" s="2"/>
      <c r="D38" s="2"/>
      <c r="E38" s="2"/>
      <c r="F38" s="2"/>
      <c r="G38" s="2"/>
      <c r="H38" s="2"/>
      <c r="L38" s="94"/>
    </row>
    <row r="39" spans="1:21" x14ac:dyDescent="0.2">
      <c r="A39" s="29" t="s">
        <v>250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-20371</v>
      </c>
      <c r="H42" s="2">
        <v>-47192</v>
      </c>
      <c r="I42" s="2">
        <v>-399</v>
      </c>
      <c r="J42" s="2">
        <v>-17932</v>
      </c>
      <c r="K42" s="2">
        <v>-9576</v>
      </c>
      <c r="L42" s="2">
        <v>-15367</v>
      </c>
      <c r="M42" s="2">
        <v>-4771</v>
      </c>
      <c r="N42" s="2">
        <v>-3254</v>
      </c>
      <c r="O42" s="117">
        <v>-14</v>
      </c>
      <c r="P42" s="117">
        <v>-262</v>
      </c>
      <c r="Q42" s="117">
        <v>-1036</v>
      </c>
      <c r="R42" s="1">
        <v>-11245</v>
      </c>
      <c r="S42" s="1">
        <v>-14124</v>
      </c>
      <c r="T42" s="1">
        <v>-2418</v>
      </c>
      <c r="U42" s="1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-737</v>
      </c>
      <c r="H43" s="2">
        <v>-1221</v>
      </c>
      <c r="I43" s="2">
        <v>-16006</v>
      </c>
      <c r="J43" s="2">
        <v>-5136</v>
      </c>
      <c r="K43" s="2">
        <v>-38636</v>
      </c>
      <c r="L43" s="2">
        <v>-17644</v>
      </c>
      <c r="M43" s="2">
        <v>-12432</v>
      </c>
      <c r="N43" s="2">
        <v>-8</v>
      </c>
      <c r="O43" s="117">
        <v>-705</v>
      </c>
      <c r="P43" s="117">
        <v>-1106</v>
      </c>
      <c r="Q43" s="117">
        <v>-9126</v>
      </c>
      <c r="R43" s="1">
        <v>-2020</v>
      </c>
      <c r="S43" s="117">
        <v>-550</v>
      </c>
      <c r="T43" s="117">
        <v>-160</v>
      </c>
      <c r="U43" s="1">
        <v>-1668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-17600</v>
      </c>
      <c r="H44" s="2">
        <v>-22386</v>
      </c>
      <c r="I44" s="2">
        <v>-6051</v>
      </c>
      <c r="J44" s="2">
        <v>-1147</v>
      </c>
      <c r="K44" s="2">
        <v>-22677</v>
      </c>
      <c r="L44" s="2">
        <v>-13333</v>
      </c>
      <c r="M44" s="2">
        <v>-8895</v>
      </c>
      <c r="N44" s="2">
        <v>-5740</v>
      </c>
      <c r="O44" s="117">
        <v>-8813</v>
      </c>
      <c r="P44" s="117">
        <v>-2553</v>
      </c>
      <c r="Q44" s="117">
        <v>-98</v>
      </c>
      <c r="R44" s="1">
        <v>-5213</v>
      </c>
      <c r="S44" s="1">
        <v>-3007</v>
      </c>
      <c r="T44" s="1">
        <v>-74</v>
      </c>
      <c r="U44" s="1">
        <v>-399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-4928</v>
      </c>
      <c r="H45" s="2">
        <v>-1648</v>
      </c>
      <c r="I45" s="2">
        <v>-33819</v>
      </c>
      <c r="J45" s="2">
        <v>-191</v>
      </c>
      <c r="K45" s="2">
        <v>-4843</v>
      </c>
      <c r="L45" s="2">
        <v>-2593</v>
      </c>
      <c r="M45" s="2">
        <v>-13437</v>
      </c>
      <c r="N45" s="2">
        <v>-6994</v>
      </c>
      <c r="O45" s="117">
        <v>-10204</v>
      </c>
      <c r="P45" s="117">
        <v>-3038</v>
      </c>
      <c r="Q45" s="117">
        <v>-11282</v>
      </c>
      <c r="R45" s="1">
        <v>-1356</v>
      </c>
      <c r="S45" s="1">
        <v>-403</v>
      </c>
      <c r="T45" s="1">
        <v>-108</v>
      </c>
      <c r="U45" s="1">
        <v>-8474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-18545</v>
      </c>
      <c r="H46" s="2">
        <v>-2567</v>
      </c>
      <c r="I46" s="2">
        <v>-4238</v>
      </c>
      <c r="J46" s="2">
        <v>-7128</v>
      </c>
      <c r="K46" s="2">
        <v>-1020</v>
      </c>
      <c r="L46" s="2">
        <v>-52523</v>
      </c>
      <c r="M46" s="2">
        <v>-3992</v>
      </c>
      <c r="N46" s="2">
        <v>-19566</v>
      </c>
      <c r="O46" s="117">
        <v>-1134</v>
      </c>
      <c r="P46" s="117">
        <v>-1019</v>
      </c>
      <c r="Q46" s="117">
        <v>-628</v>
      </c>
      <c r="R46" s="1">
        <v>-14065</v>
      </c>
      <c r="S46" s="117">
        <v>-459</v>
      </c>
      <c r="T46" s="1">
        <v>-2466</v>
      </c>
      <c r="U46" s="117">
        <v>-127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-3021</v>
      </c>
      <c r="H47" s="2">
        <v>-25588</v>
      </c>
      <c r="I47" s="2">
        <v>-5672</v>
      </c>
      <c r="J47" s="2">
        <v>-5900</v>
      </c>
      <c r="K47" s="2">
        <v>-1638</v>
      </c>
      <c r="L47" s="2">
        <v>-81</v>
      </c>
      <c r="M47" s="2">
        <v>-453</v>
      </c>
      <c r="N47" s="2">
        <v>-2574</v>
      </c>
      <c r="O47" s="117">
        <v>-4026</v>
      </c>
      <c r="P47" s="117">
        <v>-161</v>
      </c>
      <c r="Q47" s="117">
        <v>-453</v>
      </c>
      <c r="R47" s="1">
        <v>-304</v>
      </c>
      <c r="S47" s="117">
        <v>-1226</v>
      </c>
      <c r="T47" s="1">
        <v>-2300</v>
      </c>
      <c r="U47" s="1">
        <v>-4478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-3618</v>
      </c>
      <c r="H48" s="2">
        <v>-2312</v>
      </c>
      <c r="I48" s="2">
        <v>-19688</v>
      </c>
      <c r="J48" s="2">
        <v>-23332</v>
      </c>
      <c r="K48" s="2">
        <v>-6659</v>
      </c>
      <c r="L48" s="2">
        <v>-2514</v>
      </c>
      <c r="M48" s="2">
        <v>-41</v>
      </c>
      <c r="N48" s="2">
        <v>-21874</v>
      </c>
      <c r="O48" s="117">
        <v>-214</v>
      </c>
      <c r="P48" s="117">
        <v>-1705</v>
      </c>
      <c r="Q48" s="117">
        <v>-189</v>
      </c>
      <c r="R48" s="1">
        <v>-12097</v>
      </c>
      <c r="S48" s="1">
        <v>-114</v>
      </c>
      <c r="T48" s="1">
        <v>-127</v>
      </c>
      <c r="U48" s="1">
        <v>-4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-10924</v>
      </c>
      <c r="H49" s="2">
        <v>-2124</v>
      </c>
      <c r="I49" s="2">
        <v>-1094</v>
      </c>
      <c r="J49" s="2">
        <v>-52</v>
      </c>
      <c r="K49" s="2">
        <v>-12965</v>
      </c>
      <c r="L49" s="2">
        <v>-1527</v>
      </c>
      <c r="M49" s="2">
        <v>-5734</v>
      </c>
      <c r="N49" s="2">
        <v>-43155</v>
      </c>
      <c r="O49" s="117">
        <v>-226</v>
      </c>
      <c r="P49" s="117">
        <v>-767</v>
      </c>
      <c r="Q49" s="117">
        <v>-11</v>
      </c>
      <c r="R49" s="1">
        <v>-2457</v>
      </c>
      <c r="S49" s="1">
        <v>-4221</v>
      </c>
      <c r="T49" s="1">
        <v>-1136</v>
      </c>
      <c r="U49" s="1">
        <v>-43940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-46</v>
      </c>
      <c r="I50" s="2">
        <v>-3664</v>
      </c>
      <c r="J50" s="2">
        <v>-3931</v>
      </c>
      <c r="K50" s="2">
        <v>-653</v>
      </c>
      <c r="L50" s="2">
        <v>-1507</v>
      </c>
      <c r="M50" s="2">
        <v>-1668</v>
      </c>
      <c r="N50" s="2">
        <v>-39152</v>
      </c>
      <c r="O50" s="117">
        <v>-2533</v>
      </c>
      <c r="P50" s="117">
        <v>0</v>
      </c>
      <c r="Q50" s="117">
        <v>-3705</v>
      </c>
      <c r="R50" s="117">
        <v>0</v>
      </c>
      <c r="S50" s="117">
        <v>0</v>
      </c>
      <c r="T50" s="117">
        <v>-112</v>
      </c>
      <c r="U50" s="117">
        <v>-63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-7130</v>
      </c>
      <c r="H51" s="2">
        <v>-97</v>
      </c>
      <c r="I51" s="2">
        <v>-2508</v>
      </c>
      <c r="J51" s="2">
        <v>-21682</v>
      </c>
      <c r="K51" s="2">
        <v>-16511</v>
      </c>
      <c r="L51" s="2">
        <v>-61910</v>
      </c>
      <c r="M51" s="2">
        <v>-9402</v>
      </c>
      <c r="N51" s="2">
        <v>-7848</v>
      </c>
      <c r="O51" s="117">
        <v>-780</v>
      </c>
      <c r="P51" s="117">
        <v>-288</v>
      </c>
      <c r="Q51" s="117">
        <v>0</v>
      </c>
      <c r="R51" s="117">
        <v>-97</v>
      </c>
      <c r="S51" s="117">
        <v>0</v>
      </c>
      <c r="T51" s="1">
        <v>-853</v>
      </c>
      <c r="U51" s="1">
        <v>-2780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-2050</v>
      </c>
      <c r="H52" s="2">
        <v>-30953</v>
      </c>
      <c r="I52" s="2">
        <v>-653</v>
      </c>
      <c r="J52" s="2">
        <v>-627</v>
      </c>
      <c r="K52" s="2">
        <v>-6841</v>
      </c>
      <c r="L52" s="2">
        <v>-5547</v>
      </c>
      <c r="M52" s="2">
        <v>-4471</v>
      </c>
      <c r="N52" s="2">
        <v>0</v>
      </c>
      <c r="O52" s="117">
        <v>-9270</v>
      </c>
      <c r="P52" s="117">
        <v>-397</v>
      </c>
      <c r="Q52" s="117">
        <v>-3995</v>
      </c>
      <c r="R52" s="117">
        <v>0</v>
      </c>
      <c r="S52" s="117">
        <v>0</v>
      </c>
      <c r="T52" s="117">
        <v>-4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-136</v>
      </c>
      <c r="G53" s="40">
        <v>-9434</v>
      </c>
      <c r="H53" s="40">
        <v>-68</v>
      </c>
      <c r="I53" s="40">
        <v>-3019</v>
      </c>
      <c r="J53" s="40">
        <v>-11496</v>
      </c>
      <c r="K53" s="40">
        <v>-835</v>
      </c>
      <c r="L53" s="40">
        <v>-12548</v>
      </c>
      <c r="M53" s="40">
        <v>-10347</v>
      </c>
      <c r="N53" s="40">
        <v>-789</v>
      </c>
      <c r="O53" s="95">
        <v>-4248</v>
      </c>
      <c r="P53" s="95">
        <v>-7733</v>
      </c>
      <c r="Q53" s="95">
        <v>-997</v>
      </c>
      <c r="R53" s="1">
        <v>-1305</v>
      </c>
      <c r="S53" s="1">
        <v>-1689</v>
      </c>
      <c r="T53" s="1">
        <v>0</v>
      </c>
      <c r="U53" s="1">
        <v>-3751</v>
      </c>
    </row>
    <row r="54" spans="1:21" x14ac:dyDescent="0.2">
      <c r="A54" s="25"/>
      <c r="B54" s="126"/>
      <c r="C54" s="126"/>
      <c r="D54" s="126"/>
      <c r="E54" s="126"/>
      <c r="F54" s="126">
        <f t="shared" ref="F54:N54" si="10">SUM(F42:F53)</f>
        <v>-136</v>
      </c>
      <c r="G54" s="126">
        <f t="shared" si="10"/>
        <v>-98358</v>
      </c>
      <c r="H54" s="126">
        <f t="shared" si="10"/>
        <v>-136202</v>
      </c>
      <c r="I54" s="126">
        <f t="shared" si="10"/>
        <v>-96811</v>
      </c>
      <c r="J54" s="126">
        <f t="shared" si="10"/>
        <v>-98554</v>
      </c>
      <c r="K54" s="126">
        <f t="shared" si="10"/>
        <v>-122854</v>
      </c>
      <c r="L54" s="126">
        <f t="shared" si="10"/>
        <v>-187094</v>
      </c>
      <c r="M54" s="126">
        <f t="shared" si="10"/>
        <v>-75643</v>
      </c>
      <c r="N54" s="126">
        <f t="shared" si="10"/>
        <v>-150954</v>
      </c>
      <c r="O54" s="96">
        <f>SUM(O42:O53)</f>
        <v>-42167</v>
      </c>
      <c r="P54" s="96">
        <f>SUM(P42:P53)</f>
        <v>-19029</v>
      </c>
      <c r="Q54" s="96">
        <f>SUM(Q42:Q53)</f>
        <v>-31520</v>
      </c>
      <c r="R54" s="126">
        <f t="shared" ref="R54" si="11">SUM(R42:R53)</f>
        <v>-50159</v>
      </c>
      <c r="S54" s="126">
        <f>SUM(S42:S53)</f>
        <v>-25793</v>
      </c>
      <c r="T54" s="126">
        <f>SUM(T42:T53)</f>
        <v>-9758</v>
      </c>
      <c r="U54" s="126">
        <f>SUM(U42:U53)</f>
        <v>-65684</v>
      </c>
    </row>
    <row r="55" spans="1:21" x14ac:dyDescent="0.2">
      <c r="A55" s="25"/>
      <c r="B55" s="31"/>
      <c r="C55" s="31"/>
      <c r="D55" s="31"/>
      <c r="E55" s="31"/>
      <c r="F55" s="31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</row>
    <row r="56" spans="1:21" x14ac:dyDescent="0.2">
      <c r="A56" s="25"/>
      <c r="B56" s="2"/>
      <c r="C56" s="2"/>
      <c r="D56" s="2"/>
      <c r="E56" s="2"/>
      <c r="F56" s="2"/>
      <c r="G56" s="2"/>
      <c r="H56" s="2"/>
    </row>
    <row r="57" spans="1:21" x14ac:dyDescent="0.2">
      <c r="A57" s="24" t="s">
        <v>92</v>
      </c>
      <c r="B57" s="148">
        <v>5.0000000000000001E-3</v>
      </c>
      <c r="C57" s="107" t="s">
        <v>188</v>
      </c>
      <c r="D57" s="2"/>
      <c r="E57" s="2"/>
      <c r="F57" s="2"/>
      <c r="G57" s="2"/>
    </row>
    <row r="58" spans="1:21" x14ac:dyDescent="0.2">
      <c r="A58" s="25"/>
      <c r="B58" s="18">
        <v>2004</v>
      </c>
      <c r="C58" s="18">
        <v>2005</v>
      </c>
      <c r="D58" s="18">
        <v>2006</v>
      </c>
      <c r="E58" s="18">
        <v>2007</v>
      </c>
      <c r="F58" s="18">
        <v>2008</v>
      </c>
      <c r="G58" s="18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B59" s="2"/>
      <c r="C59" s="2"/>
      <c r="D59" s="2"/>
      <c r="E59" s="2"/>
      <c r="F59" s="2"/>
      <c r="G59" s="2"/>
    </row>
    <row r="60" spans="1:21" x14ac:dyDescent="0.2">
      <c r="A60" s="26" t="s">
        <v>0</v>
      </c>
      <c r="B60" s="2"/>
      <c r="C60" s="2"/>
      <c r="D60" s="2"/>
      <c r="E60" s="2"/>
      <c r="F60" s="2"/>
      <c r="G60" s="2"/>
      <c r="H60" s="42">
        <v>5736</v>
      </c>
      <c r="I60" s="42">
        <v>5736</v>
      </c>
      <c r="J60" s="42">
        <v>5456</v>
      </c>
      <c r="K60" s="42">
        <v>5405</v>
      </c>
      <c r="L60" s="115">
        <v>1994</v>
      </c>
      <c r="M60" s="117">
        <v>2802</v>
      </c>
      <c r="N60" s="117">
        <v>3433</v>
      </c>
      <c r="O60" s="117">
        <v>3123</v>
      </c>
      <c r="P60" s="117">
        <v>3293</v>
      </c>
      <c r="Q60" s="117">
        <v>2845</v>
      </c>
      <c r="R60" s="1">
        <v>4152</v>
      </c>
      <c r="S60" s="1">
        <v>249</v>
      </c>
      <c r="T60" s="1">
        <v>4601</v>
      </c>
      <c r="U60" s="1">
        <v>3406</v>
      </c>
    </row>
    <row r="61" spans="1:21" x14ac:dyDescent="0.2">
      <c r="A61" s="26" t="s">
        <v>1</v>
      </c>
      <c r="B61" s="2"/>
      <c r="C61" s="2"/>
      <c r="D61" s="2"/>
      <c r="E61" s="2"/>
      <c r="F61" s="2"/>
      <c r="G61" s="2"/>
      <c r="H61" s="42">
        <v>5814</v>
      </c>
      <c r="I61" s="42">
        <v>4423</v>
      </c>
      <c r="J61" s="42">
        <v>4682</v>
      </c>
      <c r="K61" s="42">
        <v>5238</v>
      </c>
      <c r="L61" s="115">
        <v>1743</v>
      </c>
      <c r="M61" s="117">
        <v>2759</v>
      </c>
      <c r="N61" s="117">
        <v>2483</v>
      </c>
      <c r="O61" s="117">
        <v>2304</v>
      </c>
      <c r="P61" s="117">
        <v>2669</v>
      </c>
      <c r="Q61" s="117">
        <v>2629</v>
      </c>
      <c r="R61" s="113">
        <v>2611</v>
      </c>
      <c r="S61" s="117">
        <v>683</v>
      </c>
      <c r="T61" s="1">
        <v>3381</v>
      </c>
      <c r="U61" s="1">
        <v>2764</v>
      </c>
    </row>
    <row r="62" spans="1:21" x14ac:dyDescent="0.2">
      <c r="A62" s="26" t="s">
        <v>2</v>
      </c>
      <c r="B62" s="2"/>
      <c r="C62" s="2"/>
      <c r="D62" s="2"/>
      <c r="E62" s="2"/>
      <c r="F62" s="2"/>
      <c r="G62" s="2"/>
      <c r="H62" s="42">
        <v>4732</v>
      </c>
      <c r="I62" s="42">
        <v>4736</v>
      </c>
      <c r="J62" s="42">
        <v>5315</v>
      </c>
      <c r="K62" s="42">
        <v>5357</v>
      </c>
      <c r="L62" s="115">
        <v>1667</v>
      </c>
      <c r="M62" s="117">
        <v>2584</v>
      </c>
      <c r="N62" s="117">
        <v>2899</v>
      </c>
      <c r="O62" s="117">
        <v>1810</v>
      </c>
      <c r="P62" s="117">
        <v>2068</v>
      </c>
      <c r="Q62" s="117">
        <v>1996</v>
      </c>
      <c r="R62" s="113">
        <v>2664</v>
      </c>
      <c r="S62" s="1">
        <v>1050</v>
      </c>
      <c r="T62" s="1">
        <v>1927</v>
      </c>
      <c r="U62" s="1">
        <v>4713</v>
      </c>
    </row>
    <row r="63" spans="1:21" x14ac:dyDescent="0.2">
      <c r="A63" s="26" t="s">
        <v>3</v>
      </c>
      <c r="B63" s="2"/>
      <c r="C63" s="2"/>
      <c r="D63" s="2"/>
      <c r="E63" s="2"/>
      <c r="F63" s="2"/>
      <c r="G63" s="2"/>
      <c r="H63" s="42">
        <v>7091</v>
      </c>
      <c r="I63" s="42">
        <v>6029</v>
      </c>
      <c r="J63" s="42">
        <v>5901</v>
      </c>
      <c r="K63" s="42">
        <v>6052</v>
      </c>
      <c r="L63" s="115">
        <v>1443</v>
      </c>
      <c r="M63" s="117">
        <v>890</v>
      </c>
      <c r="N63" s="117">
        <v>1426</v>
      </c>
      <c r="O63" s="117">
        <v>2931</v>
      </c>
      <c r="P63" s="117">
        <v>2465</v>
      </c>
      <c r="Q63" s="117">
        <v>4772</v>
      </c>
      <c r="R63" s="117">
        <v>1208</v>
      </c>
      <c r="S63" s="1">
        <v>1233</v>
      </c>
      <c r="T63" s="1">
        <v>4383</v>
      </c>
      <c r="U63" s="1">
        <v>3277</v>
      </c>
    </row>
    <row r="64" spans="1:21" x14ac:dyDescent="0.2">
      <c r="A64" s="26" t="s">
        <v>4</v>
      </c>
      <c r="B64" s="2"/>
      <c r="C64" s="2"/>
      <c r="D64" s="2"/>
      <c r="E64" s="2"/>
      <c r="F64" s="2"/>
      <c r="G64" s="1">
        <v>4215</v>
      </c>
      <c r="H64" s="42">
        <v>4359</v>
      </c>
      <c r="I64" s="42">
        <v>4852</v>
      </c>
      <c r="J64" s="42">
        <v>8073</v>
      </c>
      <c r="K64" s="42">
        <v>4404</v>
      </c>
      <c r="L64" s="115">
        <v>1209</v>
      </c>
      <c r="M64" s="117">
        <v>1629</v>
      </c>
      <c r="N64" s="117">
        <v>939</v>
      </c>
      <c r="O64" s="117">
        <v>4409</v>
      </c>
      <c r="P64" s="117">
        <v>1615</v>
      </c>
      <c r="Q64" s="117">
        <v>2600</v>
      </c>
      <c r="R64" s="117">
        <v>96</v>
      </c>
      <c r="S64" s="1">
        <v>1078</v>
      </c>
      <c r="T64" s="1">
        <v>2355</v>
      </c>
      <c r="U64" s="1">
        <v>2459</v>
      </c>
    </row>
    <row r="65" spans="1:21" x14ac:dyDescent="0.2">
      <c r="A65" s="26" t="s">
        <v>5</v>
      </c>
      <c r="B65" s="2"/>
      <c r="C65" s="2"/>
      <c r="D65" s="2"/>
      <c r="E65" s="2"/>
      <c r="F65" s="2"/>
      <c r="G65" s="1">
        <v>4928</v>
      </c>
      <c r="H65" s="42">
        <v>4633</v>
      </c>
      <c r="I65" s="42">
        <v>4770</v>
      </c>
      <c r="J65" s="42">
        <v>4645</v>
      </c>
      <c r="K65" s="42">
        <v>5387</v>
      </c>
      <c r="L65" s="115">
        <v>1288</v>
      </c>
      <c r="M65" s="117">
        <v>1904</v>
      </c>
      <c r="N65" s="117">
        <v>3604</v>
      </c>
      <c r="O65" s="117">
        <v>2921</v>
      </c>
      <c r="P65" s="117">
        <v>3015</v>
      </c>
      <c r="Q65" s="117">
        <v>2881</v>
      </c>
      <c r="R65" s="117">
        <v>20</v>
      </c>
      <c r="S65" s="117">
        <v>1375</v>
      </c>
      <c r="T65" s="1">
        <v>2675</v>
      </c>
      <c r="U65" s="1">
        <v>2499</v>
      </c>
    </row>
    <row r="66" spans="1:21" x14ac:dyDescent="0.2">
      <c r="A66" s="26" t="s">
        <v>6</v>
      </c>
      <c r="B66" s="2"/>
      <c r="C66" s="2"/>
      <c r="D66" s="2"/>
      <c r="E66" s="2"/>
      <c r="F66" s="2"/>
      <c r="G66" s="1">
        <v>5045</v>
      </c>
      <c r="H66" s="42">
        <v>4539</v>
      </c>
      <c r="I66" s="42">
        <v>3836</v>
      </c>
      <c r="J66" s="42">
        <v>3629</v>
      </c>
      <c r="K66" s="42">
        <v>4477</v>
      </c>
      <c r="L66" s="115">
        <v>1828</v>
      </c>
      <c r="M66" s="117">
        <v>5054</v>
      </c>
      <c r="N66" s="117">
        <v>1584</v>
      </c>
      <c r="O66" s="117">
        <v>2100</v>
      </c>
      <c r="P66" s="117">
        <v>3809</v>
      </c>
      <c r="Q66" s="117">
        <v>5484</v>
      </c>
      <c r="R66" s="1">
        <v>639</v>
      </c>
      <c r="S66" s="117">
        <v>3137</v>
      </c>
      <c r="T66" s="1">
        <v>4256</v>
      </c>
      <c r="U66" s="1">
        <v>4819</v>
      </c>
    </row>
    <row r="67" spans="1:21" x14ac:dyDescent="0.2">
      <c r="A67" s="26" t="s">
        <v>7</v>
      </c>
      <c r="B67" s="2"/>
      <c r="C67" s="2"/>
      <c r="D67" s="2"/>
      <c r="E67" s="2"/>
      <c r="F67" s="2"/>
      <c r="G67" s="1">
        <v>2344</v>
      </c>
      <c r="H67" s="42">
        <v>4801</v>
      </c>
      <c r="I67" s="42">
        <v>5893</v>
      </c>
      <c r="J67" s="42">
        <v>9107</v>
      </c>
      <c r="K67" s="42">
        <v>4077</v>
      </c>
      <c r="L67" s="115">
        <v>2438</v>
      </c>
      <c r="M67" s="117">
        <v>2733</v>
      </c>
      <c r="N67" s="117">
        <v>3547</v>
      </c>
      <c r="O67" s="117">
        <v>3483</v>
      </c>
      <c r="P67" s="117">
        <v>3458</v>
      </c>
      <c r="Q67" s="117">
        <v>4983</v>
      </c>
      <c r="R67" s="117">
        <v>757</v>
      </c>
      <c r="S67" s="1">
        <v>2224</v>
      </c>
      <c r="T67" s="1">
        <v>3284</v>
      </c>
      <c r="U67" s="1">
        <v>3898</v>
      </c>
    </row>
    <row r="68" spans="1:21" x14ac:dyDescent="0.2">
      <c r="A68" s="26" t="s">
        <v>8</v>
      </c>
      <c r="B68" s="2"/>
      <c r="C68" s="2"/>
      <c r="D68" s="2"/>
      <c r="E68" s="2"/>
      <c r="F68" s="2"/>
      <c r="G68" s="1">
        <v>3516</v>
      </c>
      <c r="H68" s="42">
        <v>5851</v>
      </c>
      <c r="I68" s="42">
        <v>5529</v>
      </c>
      <c r="J68" s="42">
        <v>5591</v>
      </c>
      <c r="K68" s="42">
        <v>2329</v>
      </c>
      <c r="L68" s="115">
        <v>4174</v>
      </c>
      <c r="M68" s="117">
        <v>4593</v>
      </c>
      <c r="N68" s="117">
        <v>4480</v>
      </c>
      <c r="O68" s="117">
        <v>2938</v>
      </c>
      <c r="P68" s="117">
        <v>3246</v>
      </c>
      <c r="Q68" s="117">
        <v>3905</v>
      </c>
      <c r="R68" s="117">
        <v>498</v>
      </c>
      <c r="S68" s="1">
        <v>4975</v>
      </c>
      <c r="T68" s="1">
        <v>5517</v>
      </c>
      <c r="U68" s="1">
        <v>5314</v>
      </c>
    </row>
    <row r="69" spans="1:21" x14ac:dyDescent="0.2">
      <c r="A69" s="26" t="s">
        <v>9</v>
      </c>
      <c r="B69" s="2"/>
      <c r="C69" s="2"/>
      <c r="D69" s="2"/>
      <c r="E69" s="2"/>
      <c r="F69" s="2"/>
      <c r="G69" s="1">
        <v>5956</v>
      </c>
      <c r="H69" s="42">
        <v>5162</v>
      </c>
      <c r="I69" s="42">
        <v>6403</v>
      </c>
      <c r="J69" s="42">
        <v>7306</v>
      </c>
      <c r="K69" s="42">
        <v>1454</v>
      </c>
      <c r="L69" s="115">
        <v>1818</v>
      </c>
      <c r="M69" s="117">
        <v>4464</v>
      </c>
      <c r="N69" s="117">
        <v>1044</v>
      </c>
      <c r="O69" s="117">
        <v>2545</v>
      </c>
      <c r="P69" s="117">
        <v>1902</v>
      </c>
      <c r="Q69" s="117">
        <v>2583</v>
      </c>
      <c r="R69" s="117">
        <v>636</v>
      </c>
      <c r="S69" s="117">
        <v>3154</v>
      </c>
      <c r="T69" s="1">
        <v>4679</v>
      </c>
      <c r="U69" s="1">
        <v>3915</v>
      </c>
    </row>
    <row r="70" spans="1:21" x14ac:dyDescent="0.2">
      <c r="A70" s="26" t="s">
        <v>10</v>
      </c>
      <c r="B70" s="2"/>
      <c r="C70" s="2"/>
      <c r="D70" s="2"/>
      <c r="E70" s="2"/>
      <c r="F70" s="2"/>
      <c r="G70" s="1">
        <v>4918</v>
      </c>
      <c r="H70" s="42">
        <v>4823</v>
      </c>
      <c r="I70" s="42">
        <v>4657</v>
      </c>
      <c r="J70" s="42">
        <v>6121</v>
      </c>
      <c r="K70" s="42">
        <v>1872</v>
      </c>
      <c r="L70" s="115">
        <v>3346</v>
      </c>
      <c r="M70" s="117">
        <v>3400</v>
      </c>
      <c r="N70" s="117">
        <v>3133</v>
      </c>
      <c r="O70" s="117">
        <v>2648</v>
      </c>
      <c r="P70" s="117">
        <v>2306</v>
      </c>
      <c r="Q70" s="117">
        <v>7195</v>
      </c>
      <c r="R70" s="1">
        <v>1566</v>
      </c>
      <c r="S70" s="1">
        <v>5245</v>
      </c>
      <c r="T70" s="1">
        <v>4015</v>
      </c>
      <c r="U70" s="1">
        <v>3733</v>
      </c>
    </row>
    <row r="71" spans="1:21" x14ac:dyDescent="0.2">
      <c r="A71" s="26" t="s">
        <v>11</v>
      </c>
      <c r="B71" s="2"/>
      <c r="C71" s="2"/>
      <c r="D71" s="2"/>
      <c r="E71" s="2"/>
      <c r="F71" s="2"/>
      <c r="G71" s="39">
        <v>4789</v>
      </c>
      <c r="H71" s="48">
        <v>4695</v>
      </c>
      <c r="I71" s="48">
        <v>4829</v>
      </c>
      <c r="J71" s="48">
        <v>5168</v>
      </c>
      <c r="K71" s="48">
        <v>2185</v>
      </c>
      <c r="L71" s="48">
        <v>2089</v>
      </c>
      <c r="M71" s="95">
        <v>2462</v>
      </c>
      <c r="N71" s="95">
        <v>2223</v>
      </c>
      <c r="O71" s="95">
        <v>2685</v>
      </c>
      <c r="P71" s="95">
        <v>2803</v>
      </c>
      <c r="Q71" s="95">
        <v>3008</v>
      </c>
      <c r="R71" s="1">
        <v>461</v>
      </c>
      <c r="S71" s="1">
        <v>2214</v>
      </c>
      <c r="T71" s="1">
        <v>2927</v>
      </c>
      <c r="U71" s="1">
        <v>3576</v>
      </c>
    </row>
    <row r="72" spans="1:21" x14ac:dyDescent="0.2">
      <c r="B72" s="2"/>
      <c r="C72" s="2"/>
      <c r="D72" s="2"/>
      <c r="E72" s="2"/>
      <c r="F72" s="2"/>
      <c r="G72" s="41">
        <f t="shared" ref="G72:L72" si="12">SUM(G60:G71)</f>
        <v>35711</v>
      </c>
      <c r="H72" s="41">
        <f t="shared" si="12"/>
        <v>62236</v>
      </c>
      <c r="I72" s="41">
        <f t="shared" si="12"/>
        <v>61693</v>
      </c>
      <c r="J72" s="41">
        <f t="shared" si="12"/>
        <v>70994</v>
      </c>
      <c r="K72" s="41">
        <f t="shared" si="12"/>
        <v>48237</v>
      </c>
      <c r="L72" s="41">
        <f t="shared" si="12"/>
        <v>25037</v>
      </c>
      <c r="M72" s="96">
        <f t="shared" ref="M72:Q72" si="13">SUM(M60:M71)</f>
        <v>35274</v>
      </c>
      <c r="N72" s="96">
        <f t="shared" si="13"/>
        <v>30795</v>
      </c>
      <c r="O72" s="96">
        <f t="shared" si="13"/>
        <v>33897</v>
      </c>
      <c r="P72" s="96">
        <f t="shared" si="13"/>
        <v>32649</v>
      </c>
      <c r="Q72" s="96">
        <f t="shared" si="13"/>
        <v>44881</v>
      </c>
      <c r="R72" s="126">
        <f t="shared" ref="R72:S72" si="14">SUM(R60:R71)</f>
        <v>15308</v>
      </c>
      <c r="S72" s="126">
        <f t="shared" si="14"/>
        <v>26617</v>
      </c>
      <c r="T72" s="126">
        <f t="shared" ref="T72:U72" si="15">SUM(T60:T71)</f>
        <v>44000</v>
      </c>
      <c r="U72" s="126">
        <f t="shared" si="15"/>
        <v>44373</v>
      </c>
    </row>
    <row r="73" spans="1:21" x14ac:dyDescent="0.2">
      <c r="B73" s="2"/>
      <c r="C73" s="2"/>
      <c r="D73" s="2"/>
      <c r="E73" s="2"/>
      <c r="F73" s="2"/>
      <c r="G73" s="2"/>
    </row>
    <row r="74" spans="1:21" x14ac:dyDescent="0.2">
      <c r="B74" s="2"/>
      <c r="C74" s="2"/>
      <c r="D74" s="2"/>
      <c r="E74" s="2"/>
      <c r="F74" s="2"/>
      <c r="G74" s="2"/>
    </row>
    <row r="75" spans="1:21" x14ac:dyDescent="0.2">
      <c r="A75" s="24" t="s">
        <v>93</v>
      </c>
      <c r="B75" s="148">
        <v>5.0000000000000001E-3</v>
      </c>
      <c r="C75" s="107" t="s">
        <v>188</v>
      </c>
      <c r="D75" s="2"/>
      <c r="E75" s="2"/>
      <c r="F75" s="2"/>
      <c r="G75" s="2"/>
    </row>
    <row r="76" spans="1:21" x14ac:dyDescent="0.2">
      <c r="A76" s="25"/>
      <c r="B76" s="18">
        <v>2004</v>
      </c>
      <c r="C76" s="18">
        <v>2005</v>
      </c>
      <c r="D76" s="18">
        <v>2006</v>
      </c>
      <c r="E76" s="18">
        <v>2007</v>
      </c>
      <c r="F76" s="18">
        <v>2008</v>
      </c>
      <c r="G76" s="18">
        <v>2009</v>
      </c>
      <c r="H76" s="18">
        <v>2010</v>
      </c>
      <c r="I76" s="18">
        <v>2011</v>
      </c>
      <c r="J76" s="18">
        <v>2012</v>
      </c>
      <c r="K76" s="18">
        <v>2013</v>
      </c>
      <c r="L76" s="18">
        <v>2014</v>
      </c>
      <c r="M76" s="18">
        <v>2015</v>
      </c>
      <c r="N76" s="86">
        <v>2016</v>
      </c>
      <c r="O76" s="86">
        <v>2017</v>
      </c>
      <c r="P76" s="86">
        <v>2018</v>
      </c>
      <c r="Q76" s="86">
        <v>2019</v>
      </c>
      <c r="R76" s="86">
        <v>2020</v>
      </c>
      <c r="S76" s="86">
        <v>2021</v>
      </c>
      <c r="T76" s="86">
        <v>2022</v>
      </c>
      <c r="U76" s="86">
        <v>2023</v>
      </c>
    </row>
    <row r="77" spans="1:21" x14ac:dyDescent="0.2">
      <c r="B77" s="2"/>
      <c r="C77" s="2"/>
      <c r="D77" s="2"/>
      <c r="E77" s="2"/>
      <c r="F77" s="2"/>
      <c r="G77" s="2"/>
    </row>
    <row r="78" spans="1:21" x14ac:dyDescent="0.2">
      <c r="A78" s="26" t="s">
        <v>0</v>
      </c>
      <c r="B78" s="2"/>
      <c r="C78" s="2"/>
      <c r="D78" s="2"/>
      <c r="E78" s="2"/>
      <c r="F78" s="2"/>
      <c r="G78" s="2"/>
      <c r="H78" s="42">
        <v>39570</v>
      </c>
      <c r="I78" s="42">
        <v>39179</v>
      </c>
      <c r="J78" s="42">
        <v>44640</v>
      </c>
      <c r="K78" s="42">
        <v>49577</v>
      </c>
      <c r="L78" s="115">
        <v>51295</v>
      </c>
      <c r="M78" s="117">
        <v>59967</v>
      </c>
      <c r="N78" s="117">
        <v>61436</v>
      </c>
      <c r="O78" s="117">
        <v>63572</v>
      </c>
      <c r="P78" s="117">
        <v>60631</v>
      </c>
      <c r="Q78" s="117">
        <v>66970</v>
      </c>
      <c r="R78" s="1">
        <v>69815</v>
      </c>
      <c r="S78" s="1">
        <v>39798</v>
      </c>
      <c r="T78" s="1">
        <v>67651</v>
      </c>
      <c r="U78" s="1">
        <v>69663</v>
      </c>
    </row>
    <row r="79" spans="1:21" x14ac:dyDescent="0.2">
      <c r="A79" s="26" t="s">
        <v>1</v>
      </c>
      <c r="B79" s="2"/>
      <c r="C79" s="2"/>
      <c r="D79" s="2"/>
      <c r="E79" s="2"/>
      <c r="F79" s="2"/>
      <c r="G79" s="2"/>
      <c r="H79" s="42">
        <v>36437</v>
      </c>
      <c r="I79" s="42">
        <v>38937</v>
      </c>
      <c r="J79" s="42">
        <v>41238</v>
      </c>
      <c r="K79" s="42">
        <v>43665</v>
      </c>
      <c r="L79" s="115">
        <v>79668</v>
      </c>
      <c r="M79" s="117">
        <v>59347</v>
      </c>
      <c r="N79" s="117">
        <v>56020</v>
      </c>
      <c r="O79" s="117">
        <v>55821</v>
      </c>
      <c r="P79" s="117">
        <v>54667</v>
      </c>
      <c r="Q79" s="117">
        <v>55429</v>
      </c>
      <c r="R79" s="113">
        <v>57910</v>
      </c>
      <c r="S79" s="1">
        <v>47740</v>
      </c>
      <c r="T79" s="1">
        <v>63425</v>
      </c>
      <c r="U79" s="1">
        <v>69841</v>
      </c>
    </row>
    <row r="80" spans="1:21" x14ac:dyDescent="0.2">
      <c r="A80" s="26" t="s">
        <v>2</v>
      </c>
      <c r="B80" s="2"/>
      <c r="C80" s="2"/>
      <c r="D80" s="2"/>
      <c r="E80" s="2"/>
      <c r="F80" s="2"/>
      <c r="G80" s="2"/>
      <c r="H80" s="42">
        <v>37141</v>
      </c>
      <c r="I80" s="42">
        <v>39069</v>
      </c>
      <c r="J80" s="42">
        <v>42570</v>
      </c>
      <c r="K80" s="42">
        <v>44206</v>
      </c>
      <c r="L80" s="115">
        <v>106851</v>
      </c>
      <c r="M80" s="117">
        <v>71820</v>
      </c>
      <c r="N80" s="117">
        <v>54929</v>
      </c>
      <c r="O80" s="117">
        <v>59033</v>
      </c>
      <c r="P80" s="117">
        <v>55103</v>
      </c>
      <c r="Q80" s="117">
        <v>51106</v>
      </c>
      <c r="R80" s="113">
        <v>60897</v>
      </c>
      <c r="S80" s="1">
        <v>51532</v>
      </c>
      <c r="T80" s="1">
        <v>59943</v>
      </c>
      <c r="U80" s="1">
        <v>73241</v>
      </c>
    </row>
    <row r="81" spans="1:21" x14ac:dyDescent="0.2">
      <c r="A81" s="26" t="s">
        <v>3</v>
      </c>
      <c r="B81" s="2"/>
      <c r="C81" s="2"/>
      <c r="D81" s="2"/>
      <c r="E81" s="2"/>
      <c r="F81" s="2"/>
      <c r="G81" s="2"/>
      <c r="H81" s="42">
        <v>41061</v>
      </c>
      <c r="I81" s="42">
        <v>43994</v>
      </c>
      <c r="J81" s="42">
        <v>55626</v>
      </c>
      <c r="K81" s="42">
        <v>50764</v>
      </c>
      <c r="L81" s="115">
        <v>57331</v>
      </c>
      <c r="M81" s="117">
        <v>58920</v>
      </c>
      <c r="N81" s="117">
        <v>59619</v>
      </c>
      <c r="O81" s="117">
        <v>62708</v>
      </c>
      <c r="P81" s="117">
        <v>63958</v>
      </c>
      <c r="Q81" s="117">
        <v>66192</v>
      </c>
      <c r="R81" s="117">
        <v>45296</v>
      </c>
      <c r="S81" s="1">
        <v>62634</v>
      </c>
      <c r="T81" s="1">
        <v>68588</v>
      </c>
      <c r="U81" s="1">
        <v>88852</v>
      </c>
    </row>
    <row r="82" spans="1:21" x14ac:dyDescent="0.2">
      <c r="A82" s="26" t="s">
        <v>4</v>
      </c>
      <c r="B82" s="2"/>
      <c r="C82" s="2"/>
      <c r="D82" s="2"/>
      <c r="E82" s="2"/>
      <c r="F82" s="2"/>
      <c r="G82" s="1">
        <v>36284</v>
      </c>
      <c r="H82" s="42">
        <v>38915</v>
      </c>
      <c r="I82" s="42">
        <v>43988</v>
      </c>
      <c r="J82" s="42">
        <v>45420</v>
      </c>
      <c r="K82" s="42">
        <v>48374</v>
      </c>
      <c r="L82" s="115">
        <v>54114</v>
      </c>
      <c r="M82" s="117">
        <v>70536</v>
      </c>
      <c r="N82" s="117">
        <v>61929</v>
      </c>
      <c r="O82" s="117">
        <v>63254</v>
      </c>
      <c r="P82" s="117">
        <v>56649</v>
      </c>
      <c r="Q82" s="117">
        <v>62672</v>
      </c>
      <c r="R82" s="117">
        <v>30651</v>
      </c>
      <c r="S82" s="1">
        <v>61579</v>
      </c>
      <c r="T82" s="1">
        <v>62911</v>
      </c>
      <c r="U82" s="1">
        <v>74678</v>
      </c>
    </row>
    <row r="83" spans="1:21" x14ac:dyDescent="0.2">
      <c r="A83" s="26" t="s">
        <v>5</v>
      </c>
      <c r="B83" s="2"/>
      <c r="C83" s="2"/>
      <c r="D83" s="2"/>
      <c r="E83" s="2"/>
      <c r="F83" s="2"/>
      <c r="G83" s="1">
        <v>38270</v>
      </c>
      <c r="H83" s="42">
        <v>39179</v>
      </c>
      <c r="I83" s="42">
        <v>40767</v>
      </c>
      <c r="J83" s="42">
        <v>44154</v>
      </c>
      <c r="K83" s="42">
        <v>46531</v>
      </c>
      <c r="L83" s="115">
        <v>59388</v>
      </c>
      <c r="M83" s="117">
        <v>58119</v>
      </c>
      <c r="N83" s="117">
        <v>57610</v>
      </c>
      <c r="O83" s="117">
        <v>60583</v>
      </c>
      <c r="P83" s="117">
        <v>57701</v>
      </c>
      <c r="Q83" s="117">
        <v>62803</v>
      </c>
      <c r="R83" s="113">
        <v>39408</v>
      </c>
      <c r="S83" s="1">
        <v>66346</v>
      </c>
      <c r="T83" s="1">
        <v>77669</v>
      </c>
      <c r="U83" s="1">
        <v>71457</v>
      </c>
    </row>
    <row r="84" spans="1:21" x14ac:dyDescent="0.2">
      <c r="A84" s="26" t="s">
        <v>6</v>
      </c>
      <c r="B84" s="2"/>
      <c r="C84" s="2"/>
      <c r="D84" s="2"/>
      <c r="E84" s="2"/>
      <c r="F84" s="2"/>
      <c r="G84" s="1">
        <v>33618</v>
      </c>
      <c r="H84" s="42">
        <v>35198</v>
      </c>
      <c r="I84" s="42">
        <v>36557</v>
      </c>
      <c r="J84" s="42">
        <v>34034</v>
      </c>
      <c r="K84" s="42">
        <v>39889</v>
      </c>
      <c r="L84" s="115">
        <v>45556</v>
      </c>
      <c r="M84" s="117">
        <v>45884</v>
      </c>
      <c r="N84" s="117">
        <v>51232</v>
      </c>
      <c r="O84" s="117">
        <v>57743</v>
      </c>
      <c r="P84" s="117">
        <v>55081</v>
      </c>
      <c r="Q84" s="117">
        <v>57048</v>
      </c>
      <c r="R84" s="1">
        <v>44977</v>
      </c>
      <c r="S84" s="1">
        <v>62251</v>
      </c>
      <c r="T84" s="1">
        <v>60482</v>
      </c>
      <c r="U84" s="1">
        <v>75353</v>
      </c>
    </row>
    <row r="85" spans="1:21" x14ac:dyDescent="0.2">
      <c r="A85" s="26" t="s">
        <v>7</v>
      </c>
      <c r="B85" s="2"/>
      <c r="C85" s="2"/>
      <c r="D85" s="2"/>
      <c r="E85" s="2"/>
      <c r="F85" s="2"/>
      <c r="G85" s="1">
        <v>40674</v>
      </c>
      <c r="H85" s="42">
        <v>40403</v>
      </c>
      <c r="I85" s="42">
        <v>42080</v>
      </c>
      <c r="J85" s="42">
        <v>52934</v>
      </c>
      <c r="K85" s="42">
        <v>53967</v>
      </c>
      <c r="L85" s="115">
        <v>54859</v>
      </c>
      <c r="M85" s="117">
        <v>62737</v>
      </c>
      <c r="N85" s="117">
        <v>62978</v>
      </c>
      <c r="O85" s="117">
        <v>71449</v>
      </c>
      <c r="P85" s="117">
        <v>61596</v>
      </c>
      <c r="Q85" s="117">
        <v>63821</v>
      </c>
      <c r="R85" s="1">
        <v>54922</v>
      </c>
      <c r="S85" s="1">
        <v>68680</v>
      </c>
      <c r="T85" s="1">
        <v>61522</v>
      </c>
      <c r="U85" s="1">
        <v>68122</v>
      </c>
    </row>
    <row r="86" spans="1:21" x14ac:dyDescent="0.2">
      <c r="A86" s="26" t="s">
        <v>8</v>
      </c>
      <c r="B86" s="2"/>
      <c r="C86" s="2"/>
      <c r="D86" s="2"/>
      <c r="E86" s="2"/>
      <c r="F86" s="2"/>
      <c r="G86" s="1">
        <v>41635</v>
      </c>
      <c r="H86" s="42">
        <v>40474</v>
      </c>
      <c r="I86" s="42">
        <v>47439</v>
      </c>
      <c r="J86" s="42">
        <v>47596</v>
      </c>
      <c r="K86" s="42">
        <v>53508</v>
      </c>
      <c r="L86" s="115">
        <v>54840</v>
      </c>
      <c r="M86" s="117">
        <v>167895</v>
      </c>
      <c r="N86" s="117">
        <v>68394</v>
      </c>
      <c r="O86" s="117">
        <v>61658</v>
      </c>
      <c r="P86" s="117">
        <v>61428</v>
      </c>
      <c r="Q86" s="117">
        <v>62626</v>
      </c>
      <c r="R86" s="2">
        <v>55334</v>
      </c>
      <c r="S86" s="1">
        <v>66626</v>
      </c>
      <c r="T86" s="1">
        <v>68975</v>
      </c>
      <c r="U86" s="1">
        <v>72616</v>
      </c>
    </row>
    <row r="87" spans="1:21" x14ac:dyDescent="0.2">
      <c r="A87" s="26" t="s">
        <v>9</v>
      </c>
      <c r="B87" s="2"/>
      <c r="C87" s="2"/>
      <c r="D87" s="2"/>
      <c r="E87" s="2"/>
      <c r="F87" s="2"/>
      <c r="G87" s="1">
        <v>37859</v>
      </c>
      <c r="H87" s="42">
        <v>40607</v>
      </c>
      <c r="I87" s="42">
        <v>44383</v>
      </c>
      <c r="J87" s="42">
        <v>45524</v>
      </c>
      <c r="K87" s="42">
        <v>53631</v>
      </c>
      <c r="L87" s="115">
        <v>55059</v>
      </c>
      <c r="M87" s="117">
        <v>58750</v>
      </c>
      <c r="N87" s="117">
        <v>63142</v>
      </c>
      <c r="O87" s="117">
        <v>64128</v>
      </c>
      <c r="P87" s="117">
        <v>60102</v>
      </c>
      <c r="Q87" s="117">
        <v>61746</v>
      </c>
      <c r="R87" s="1">
        <v>58566</v>
      </c>
      <c r="S87" s="1">
        <v>67250</v>
      </c>
      <c r="T87" s="1">
        <v>72294</v>
      </c>
      <c r="U87" s="1">
        <v>85681</v>
      </c>
    </row>
    <row r="88" spans="1:21" x14ac:dyDescent="0.2">
      <c r="A88" s="26" t="s">
        <v>10</v>
      </c>
      <c r="B88" s="2"/>
      <c r="C88" s="2"/>
      <c r="D88" s="2"/>
      <c r="E88" s="2"/>
      <c r="F88" s="2"/>
      <c r="G88" s="1">
        <v>41334</v>
      </c>
      <c r="H88" s="42">
        <v>42231</v>
      </c>
      <c r="I88" s="42">
        <v>45397</v>
      </c>
      <c r="J88" s="42">
        <v>47682</v>
      </c>
      <c r="K88" s="42">
        <v>54470</v>
      </c>
      <c r="L88" s="115">
        <v>57146</v>
      </c>
      <c r="M88" s="117">
        <v>69035</v>
      </c>
      <c r="N88" s="117">
        <v>73306</v>
      </c>
      <c r="O88" s="117">
        <v>63869</v>
      </c>
      <c r="P88" s="117">
        <v>62326</v>
      </c>
      <c r="Q88" s="117">
        <v>66750</v>
      </c>
      <c r="R88" s="1">
        <v>57919</v>
      </c>
      <c r="S88" s="1">
        <v>70375</v>
      </c>
      <c r="T88" s="1">
        <v>74507</v>
      </c>
      <c r="U88" s="1">
        <v>74790</v>
      </c>
    </row>
    <row r="89" spans="1:21" x14ac:dyDescent="0.2">
      <c r="A89" s="26" t="s">
        <v>11</v>
      </c>
      <c r="B89" s="2"/>
      <c r="C89" s="2"/>
      <c r="D89" s="2"/>
      <c r="E89" s="2"/>
      <c r="F89" s="2"/>
      <c r="G89" s="39">
        <v>38204</v>
      </c>
      <c r="H89" s="48">
        <v>36521</v>
      </c>
      <c r="I89" s="48">
        <v>39821</v>
      </c>
      <c r="J89" s="48">
        <v>50001</v>
      </c>
      <c r="K89" s="48">
        <v>50517</v>
      </c>
      <c r="L89" s="48">
        <v>52992</v>
      </c>
      <c r="M89" s="95">
        <v>54662</v>
      </c>
      <c r="N89" s="95">
        <v>56712</v>
      </c>
      <c r="O89" s="95">
        <v>58227</v>
      </c>
      <c r="P89" s="95">
        <v>57850</v>
      </c>
      <c r="Q89" s="95">
        <v>60875</v>
      </c>
      <c r="R89" s="1">
        <v>45864</v>
      </c>
      <c r="S89" s="1">
        <v>60340</v>
      </c>
      <c r="T89" s="1">
        <v>66990</v>
      </c>
      <c r="U89" s="1">
        <v>68101</v>
      </c>
    </row>
    <row r="90" spans="1:21" x14ac:dyDescent="0.2">
      <c r="B90" s="2"/>
      <c r="C90" s="2"/>
      <c r="D90" s="2"/>
      <c r="E90" s="2"/>
      <c r="F90" s="2"/>
      <c r="G90" s="41">
        <f t="shared" ref="G90:L90" si="16">SUM(G78:G89)</f>
        <v>307878</v>
      </c>
      <c r="H90" s="41">
        <f t="shared" si="16"/>
        <v>467737</v>
      </c>
      <c r="I90" s="41">
        <f t="shared" si="16"/>
        <v>501611</v>
      </c>
      <c r="J90" s="41">
        <f t="shared" si="16"/>
        <v>551419</v>
      </c>
      <c r="K90" s="41">
        <f t="shared" si="16"/>
        <v>589099</v>
      </c>
      <c r="L90" s="41">
        <f t="shared" si="16"/>
        <v>729099</v>
      </c>
      <c r="M90" s="96">
        <f t="shared" ref="M90:Q90" si="17">SUM(M78:M89)</f>
        <v>837672</v>
      </c>
      <c r="N90" s="96">
        <f t="shared" si="17"/>
        <v>727307</v>
      </c>
      <c r="O90" s="96">
        <f t="shared" si="17"/>
        <v>742045</v>
      </c>
      <c r="P90" s="96">
        <f t="shared" si="17"/>
        <v>707092</v>
      </c>
      <c r="Q90" s="96">
        <f t="shared" si="17"/>
        <v>738038</v>
      </c>
      <c r="R90" s="126">
        <f t="shared" ref="R90:S90" si="18">SUM(R78:R89)</f>
        <v>621559</v>
      </c>
      <c r="S90" s="126">
        <f t="shared" si="18"/>
        <v>725151</v>
      </c>
      <c r="T90" s="126">
        <f t="shared" ref="T90:U90" si="19">SUM(T78:T89)</f>
        <v>804957</v>
      </c>
      <c r="U90" s="126">
        <f t="shared" si="19"/>
        <v>892395</v>
      </c>
    </row>
    <row r="91" spans="1:21" x14ac:dyDescent="0.2">
      <c r="B91" s="2"/>
      <c r="C91" s="2"/>
      <c r="D91" s="2"/>
      <c r="E91" s="2"/>
      <c r="F91" s="2"/>
      <c r="G91" s="1"/>
    </row>
    <row r="92" spans="1:21" x14ac:dyDescent="0.2">
      <c r="B92" s="2"/>
      <c r="C92" s="2"/>
      <c r="D92" s="2"/>
      <c r="E92" s="2"/>
      <c r="F92" s="2"/>
      <c r="G92" s="1"/>
    </row>
    <row r="93" spans="1:21" x14ac:dyDescent="0.2">
      <c r="A93" s="24" t="s">
        <v>457</v>
      </c>
      <c r="B93" s="148">
        <v>0.03</v>
      </c>
      <c r="C93" s="107" t="s">
        <v>458</v>
      </c>
      <c r="D93" s="2"/>
      <c r="E93" s="2"/>
      <c r="F93" s="2"/>
      <c r="G93" s="2"/>
    </row>
    <row r="94" spans="1:21" x14ac:dyDescent="0.2">
      <c r="A94" s="25"/>
      <c r="B94" s="18">
        <v>2004</v>
      </c>
      <c r="C94" s="18">
        <v>2005</v>
      </c>
      <c r="D94" s="18">
        <v>2006</v>
      </c>
      <c r="E94" s="18">
        <v>2007</v>
      </c>
      <c r="F94" s="18">
        <v>2008</v>
      </c>
      <c r="G94" s="18">
        <v>2009</v>
      </c>
      <c r="H94" s="18">
        <v>2010</v>
      </c>
      <c r="I94" s="18">
        <v>2011</v>
      </c>
      <c r="J94" s="18">
        <v>2012</v>
      </c>
      <c r="K94" s="18">
        <v>2013</v>
      </c>
      <c r="L94" s="18">
        <v>2014</v>
      </c>
      <c r="M94" s="18">
        <v>2015</v>
      </c>
      <c r="N94" s="86">
        <v>2016</v>
      </c>
      <c r="O94" s="86">
        <v>2017</v>
      </c>
      <c r="P94" s="86">
        <v>2018</v>
      </c>
      <c r="Q94" s="86">
        <v>2019</v>
      </c>
      <c r="R94" s="86">
        <v>2020</v>
      </c>
      <c r="S94" s="86">
        <v>2021</v>
      </c>
      <c r="T94" s="86">
        <v>2022</v>
      </c>
      <c r="U94" s="86">
        <v>2023</v>
      </c>
    </row>
    <row r="95" spans="1:21" x14ac:dyDescent="0.2">
      <c r="B95" s="2"/>
      <c r="C95" s="2"/>
      <c r="D95" s="2"/>
      <c r="E95" s="2"/>
      <c r="F95" s="2"/>
      <c r="G95" s="2"/>
    </row>
    <row r="96" spans="1:21" x14ac:dyDescent="0.2">
      <c r="A96" s="26" t="s">
        <v>0</v>
      </c>
      <c r="B96" s="2"/>
      <c r="C96" s="2"/>
      <c r="D96" s="2"/>
      <c r="E96" s="2"/>
      <c r="F96" s="2"/>
      <c r="G96" s="2"/>
      <c r="H96" s="42"/>
      <c r="I96" s="42"/>
      <c r="J96" s="42"/>
      <c r="K96" s="42"/>
      <c r="L96" s="115"/>
      <c r="M96" s="117"/>
      <c r="N96" s="117"/>
      <c r="O96" s="117"/>
      <c r="P96" s="117"/>
      <c r="Q96" s="117"/>
      <c r="R96" s="1"/>
      <c r="S96" s="1"/>
      <c r="T96" s="1">
        <v>40138</v>
      </c>
      <c r="U96" s="1">
        <v>50930</v>
      </c>
    </row>
    <row r="97" spans="1:21" x14ac:dyDescent="0.2">
      <c r="A97" s="26" t="s">
        <v>1</v>
      </c>
      <c r="B97" s="2"/>
      <c r="C97" s="2"/>
      <c r="D97" s="2"/>
      <c r="E97" s="2"/>
      <c r="F97" s="2"/>
      <c r="G97" s="2"/>
      <c r="H97" s="42"/>
      <c r="I97" s="42"/>
      <c r="J97" s="42"/>
      <c r="K97" s="42"/>
      <c r="L97" s="115"/>
      <c r="M97" s="117"/>
      <c r="N97" s="117"/>
      <c r="O97" s="117"/>
      <c r="P97" s="117"/>
      <c r="Q97" s="117"/>
      <c r="R97" s="113"/>
      <c r="S97" s="1"/>
      <c r="T97" s="1">
        <v>41644</v>
      </c>
      <c r="U97" s="1">
        <v>47536</v>
      </c>
    </row>
    <row r="98" spans="1:21" x14ac:dyDescent="0.2">
      <c r="A98" s="26" t="s">
        <v>2</v>
      </c>
      <c r="B98" s="2"/>
      <c r="C98" s="2"/>
      <c r="D98" s="2"/>
      <c r="E98" s="2"/>
      <c r="F98" s="2"/>
      <c r="G98" s="2"/>
      <c r="H98" s="42"/>
      <c r="I98" s="42"/>
      <c r="J98" s="42"/>
      <c r="K98" s="42"/>
      <c r="L98" s="115"/>
      <c r="M98" s="117"/>
      <c r="N98" s="117"/>
      <c r="O98" s="117"/>
      <c r="P98" s="117"/>
      <c r="Q98" s="117"/>
      <c r="R98" s="113"/>
      <c r="S98" s="1"/>
      <c r="T98" s="1">
        <v>48180</v>
      </c>
      <c r="U98" s="1">
        <v>55592</v>
      </c>
    </row>
    <row r="99" spans="1:21" x14ac:dyDescent="0.2">
      <c r="A99" s="26" t="s">
        <v>3</v>
      </c>
      <c r="B99" s="2"/>
      <c r="C99" s="2"/>
      <c r="D99" s="2"/>
      <c r="E99" s="2"/>
      <c r="F99" s="2"/>
      <c r="G99" s="2"/>
      <c r="H99" s="42"/>
      <c r="I99" s="42"/>
      <c r="J99" s="42"/>
      <c r="K99" s="42"/>
      <c r="L99" s="115"/>
      <c r="M99" s="117"/>
      <c r="N99" s="117"/>
      <c r="O99" s="117"/>
      <c r="P99" s="117"/>
      <c r="Q99" s="117"/>
      <c r="R99" s="117"/>
      <c r="S99" s="1"/>
      <c r="T99" s="1">
        <v>47521</v>
      </c>
      <c r="U99" s="1">
        <v>51860</v>
      </c>
    </row>
    <row r="100" spans="1:21" x14ac:dyDescent="0.2">
      <c r="A100" s="26" t="s">
        <v>4</v>
      </c>
      <c r="B100" s="2"/>
      <c r="C100" s="2"/>
      <c r="D100" s="2"/>
      <c r="E100" s="2"/>
      <c r="F100" s="2"/>
      <c r="G100" s="1"/>
      <c r="H100" s="42"/>
      <c r="I100" s="42"/>
      <c r="J100" s="42"/>
      <c r="K100" s="42"/>
      <c r="L100" s="115"/>
      <c r="M100" s="117"/>
      <c r="N100" s="117"/>
      <c r="O100" s="117"/>
      <c r="P100" s="117"/>
      <c r="Q100" s="117"/>
      <c r="R100" s="117"/>
      <c r="S100" s="1"/>
      <c r="T100" s="1">
        <v>52443</v>
      </c>
      <c r="U100" s="1">
        <v>55278</v>
      </c>
    </row>
    <row r="101" spans="1:21" x14ac:dyDescent="0.2">
      <c r="A101" s="26" t="s">
        <v>5</v>
      </c>
      <c r="B101" s="2"/>
      <c r="C101" s="2"/>
      <c r="D101" s="2"/>
      <c r="E101" s="2"/>
      <c r="F101" s="2"/>
      <c r="G101" s="1"/>
      <c r="H101" s="42"/>
      <c r="I101" s="42"/>
      <c r="J101" s="42"/>
      <c r="K101" s="42"/>
      <c r="L101" s="115"/>
      <c r="M101" s="117"/>
      <c r="N101" s="117"/>
      <c r="O101" s="117"/>
      <c r="P101" s="117"/>
      <c r="Q101" s="117"/>
      <c r="R101" s="113"/>
      <c r="S101" s="1"/>
      <c r="T101" s="1">
        <v>56166</v>
      </c>
      <c r="U101" s="1">
        <v>68921</v>
      </c>
    </row>
    <row r="102" spans="1:21" x14ac:dyDescent="0.2">
      <c r="A102" s="26" t="s">
        <v>6</v>
      </c>
      <c r="B102" s="2"/>
      <c r="C102" s="2"/>
      <c r="D102" s="2"/>
      <c r="E102" s="2"/>
      <c r="F102" s="2"/>
      <c r="G102" s="1"/>
      <c r="H102" s="42"/>
      <c r="I102" s="42"/>
      <c r="J102" s="42"/>
      <c r="K102" s="42"/>
      <c r="L102" s="115"/>
      <c r="M102" s="117"/>
      <c r="N102" s="117"/>
      <c r="O102" s="117"/>
      <c r="P102" s="117"/>
      <c r="Q102" s="117"/>
      <c r="R102" s="1"/>
      <c r="S102" s="1"/>
      <c r="T102" s="1">
        <v>74013</v>
      </c>
      <c r="U102" s="1">
        <v>76851</v>
      </c>
    </row>
    <row r="103" spans="1:21" x14ac:dyDescent="0.2">
      <c r="A103" s="26" t="s">
        <v>7</v>
      </c>
      <c r="B103" s="2"/>
      <c r="C103" s="2"/>
      <c r="D103" s="2"/>
      <c r="E103" s="2"/>
      <c r="F103" s="2"/>
      <c r="G103" s="1"/>
      <c r="H103" s="42"/>
      <c r="I103" s="42"/>
      <c r="J103" s="42"/>
      <c r="K103" s="42"/>
      <c r="L103" s="115"/>
      <c r="M103" s="117"/>
      <c r="N103" s="117"/>
      <c r="O103" s="117"/>
      <c r="P103" s="117"/>
      <c r="Q103" s="117"/>
      <c r="R103" s="1"/>
      <c r="S103" s="1"/>
      <c r="T103" s="1">
        <v>72377</v>
      </c>
      <c r="U103" s="1">
        <v>73583</v>
      </c>
    </row>
    <row r="104" spans="1:21" x14ac:dyDescent="0.2">
      <c r="A104" s="26" t="s">
        <v>8</v>
      </c>
      <c r="B104" s="2"/>
      <c r="C104" s="2"/>
      <c r="D104" s="2"/>
      <c r="E104" s="2"/>
      <c r="F104" s="2"/>
      <c r="G104" s="1"/>
      <c r="H104" s="42"/>
      <c r="I104" s="42"/>
      <c r="J104" s="42"/>
      <c r="K104" s="42"/>
      <c r="L104" s="115"/>
      <c r="M104" s="117"/>
      <c r="N104" s="117"/>
      <c r="O104" s="117"/>
      <c r="P104" s="117"/>
      <c r="Q104" s="117"/>
      <c r="R104" s="2"/>
      <c r="S104" s="1"/>
      <c r="T104" s="1">
        <v>72030</v>
      </c>
      <c r="U104" s="1">
        <v>75929</v>
      </c>
    </row>
    <row r="105" spans="1:21" x14ac:dyDescent="0.2">
      <c r="A105" s="26" t="s">
        <v>9</v>
      </c>
      <c r="B105" s="2"/>
      <c r="C105" s="2"/>
      <c r="D105" s="2"/>
      <c r="E105" s="2"/>
      <c r="F105" s="2"/>
      <c r="G105" s="1"/>
      <c r="H105" s="42"/>
      <c r="I105" s="42"/>
      <c r="J105" s="42"/>
      <c r="K105" s="42"/>
      <c r="L105" s="115"/>
      <c r="M105" s="117"/>
      <c r="N105" s="117"/>
      <c r="O105" s="117"/>
      <c r="P105" s="117"/>
      <c r="Q105" s="117"/>
      <c r="R105" s="1"/>
      <c r="S105" s="1">
        <v>0</v>
      </c>
      <c r="T105" s="1">
        <v>69165</v>
      </c>
      <c r="U105" s="1">
        <v>66011</v>
      </c>
    </row>
    <row r="106" spans="1:21" x14ac:dyDescent="0.2">
      <c r="A106" s="26" t="s">
        <v>10</v>
      </c>
      <c r="B106" s="2"/>
      <c r="C106" s="2"/>
      <c r="D106" s="2"/>
      <c r="E106" s="2"/>
      <c r="F106" s="2"/>
      <c r="G106" s="1"/>
      <c r="H106" s="42"/>
      <c r="I106" s="42"/>
      <c r="J106" s="42"/>
      <c r="K106" s="42"/>
      <c r="L106" s="115"/>
      <c r="M106" s="117"/>
      <c r="N106" s="117"/>
      <c r="O106" s="117"/>
      <c r="P106" s="117"/>
      <c r="Q106" s="117"/>
      <c r="R106" s="1"/>
      <c r="S106" s="1">
        <v>68121</v>
      </c>
      <c r="T106" s="1">
        <v>71927</v>
      </c>
      <c r="U106" s="1">
        <v>77657</v>
      </c>
    </row>
    <row r="107" spans="1:21" x14ac:dyDescent="0.2">
      <c r="A107" s="26" t="s">
        <v>11</v>
      </c>
      <c r="B107" s="2"/>
      <c r="C107" s="2"/>
      <c r="D107" s="2"/>
      <c r="E107" s="2"/>
      <c r="F107" s="2"/>
      <c r="G107" s="39"/>
      <c r="H107" s="48"/>
      <c r="I107" s="48"/>
      <c r="J107" s="48"/>
      <c r="K107" s="48"/>
      <c r="L107" s="48"/>
      <c r="M107" s="95"/>
      <c r="N107" s="95"/>
      <c r="O107" s="95"/>
      <c r="P107" s="95"/>
      <c r="Q107" s="95"/>
      <c r="R107" s="1"/>
      <c r="S107" s="1">
        <v>40180</v>
      </c>
      <c r="T107" s="1">
        <v>49374</v>
      </c>
      <c r="U107" s="1">
        <v>48112</v>
      </c>
    </row>
    <row r="108" spans="1:21" x14ac:dyDescent="0.2">
      <c r="B108" s="2"/>
      <c r="C108" s="2"/>
      <c r="D108" s="2"/>
      <c r="E108" s="2"/>
      <c r="F108" s="2"/>
      <c r="G108" s="41">
        <f t="shared" ref="G108:S108" si="20">SUM(G96:G107)</f>
        <v>0</v>
      </c>
      <c r="H108" s="41">
        <f t="shared" si="20"/>
        <v>0</v>
      </c>
      <c r="I108" s="41">
        <f t="shared" si="20"/>
        <v>0</v>
      </c>
      <c r="J108" s="41">
        <f t="shared" si="20"/>
        <v>0</v>
      </c>
      <c r="K108" s="41">
        <f t="shared" si="20"/>
        <v>0</v>
      </c>
      <c r="L108" s="41">
        <f t="shared" si="20"/>
        <v>0</v>
      </c>
      <c r="M108" s="96">
        <f t="shared" si="20"/>
        <v>0</v>
      </c>
      <c r="N108" s="96">
        <f t="shared" si="20"/>
        <v>0</v>
      </c>
      <c r="O108" s="96">
        <f t="shared" si="20"/>
        <v>0</v>
      </c>
      <c r="P108" s="96">
        <f t="shared" si="20"/>
        <v>0</v>
      </c>
      <c r="Q108" s="96">
        <f t="shared" si="20"/>
        <v>0</v>
      </c>
      <c r="R108" s="126">
        <f t="shared" si="20"/>
        <v>0</v>
      </c>
      <c r="S108" s="126">
        <f t="shared" si="20"/>
        <v>108301</v>
      </c>
      <c r="T108" s="126">
        <f t="shared" ref="T108:U108" si="21">SUM(T96:T107)</f>
        <v>694978</v>
      </c>
      <c r="U108" s="126">
        <f t="shared" si="21"/>
        <v>748260</v>
      </c>
    </row>
  </sheetData>
  <phoneticPr fontId="4" type="noConversion"/>
  <printOptions horizontalCentered="1"/>
  <pageMargins left="0" right="0" top="0.62" bottom="0.8" header="0.26" footer="0.36"/>
  <pageSetup fitToHeight="2" orientation="landscape" r:id="rId1"/>
  <headerFooter alignWithMargins="0">
    <oddHeader>&amp;A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21" width="11.7109375" bestFit="1" customWidth="1"/>
  </cols>
  <sheetData>
    <row r="1" spans="1:21" x14ac:dyDescent="0.2">
      <c r="A1" s="121" t="s">
        <v>298</v>
      </c>
    </row>
    <row r="2" spans="1:21" x14ac:dyDescent="0.2">
      <c r="A2" s="24" t="s">
        <v>84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563874</v>
      </c>
      <c r="Q5" s="117">
        <v>676373</v>
      </c>
      <c r="R5" s="1">
        <v>833974</v>
      </c>
      <c r="S5" s="1">
        <v>902363</v>
      </c>
      <c r="T5" s="1">
        <v>987149</v>
      </c>
      <c r="U5" s="1">
        <v>1037105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447470</v>
      </c>
      <c r="Q6" s="117">
        <v>538194</v>
      </c>
      <c r="R6" s="1">
        <v>644629</v>
      </c>
      <c r="S6" s="1">
        <v>681945</v>
      </c>
      <c r="T6" s="1">
        <v>818435</v>
      </c>
      <c r="U6" s="1">
        <v>815641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423757</v>
      </c>
      <c r="Q7" s="117">
        <v>491748</v>
      </c>
      <c r="R7" s="1">
        <v>574286</v>
      </c>
      <c r="S7" s="1">
        <v>636179</v>
      </c>
      <c r="T7" s="1">
        <v>783841</v>
      </c>
      <c r="U7" s="1">
        <v>774227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520700</v>
      </c>
      <c r="Q8" s="117">
        <v>590131</v>
      </c>
      <c r="R8" s="1">
        <v>652731</v>
      </c>
      <c r="S8" s="1">
        <v>841178</v>
      </c>
      <c r="T8" s="1">
        <v>920469</v>
      </c>
      <c r="U8" s="1">
        <v>940289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489064</v>
      </c>
      <c r="Q9" s="117">
        <v>618776</v>
      </c>
      <c r="R9" s="1">
        <v>688773</v>
      </c>
      <c r="S9" s="1">
        <v>882399</v>
      </c>
      <c r="T9" s="1">
        <v>902539</v>
      </c>
      <c r="U9" s="1">
        <v>925187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644603</v>
      </c>
      <c r="Q10" s="117">
        <v>732411</v>
      </c>
      <c r="R10" s="1">
        <v>803988</v>
      </c>
      <c r="S10" s="1">
        <v>948595</v>
      </c>
      <c r="T10" s="1">
        <v>1197429</v>
      </c>
      <c r="U10" s="1">
        <v>1112252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595754</v>
      </c>
      <c r="Q11" s="117">
        <v>689913</v>
      </c>
      <c r="R11" s="1">
        <v>767281</v>
      </c>
      <c r="S11" s="1">
        <v>994327</v>
      </c>
      <c r="T11" s="1">
        <v>1063980</v>
      </c>
      <c r="U11" s="1">
        <v>1169310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718038</v>
      </c>
      <c r="Q12" s="117">
        <v>814418</v>
      </c>
      <c r="R12" s="1">
        <v>878677</v>
      </c>
      <c r="S12" s="1">
        <v>1055817</v>
      </c>
      <c r="T12" s="1">
        <v>1004244</v>
      </c>
      <c r="U12" s="1">
        <v>1069993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644276</v>
      </c>
      <c r="Q13" s="117">
        <v>743945</v>
      </c>
      <c r="R13" s="2">
        <v>795951</v>
      </c>
      <c r="S13" s="1">
        <v>921530</v>
      </c>
      <c r="T13" s="1">
        <v>1050324</v>
      </c>
      <c r="U13" s="1">
        <v>1097728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317</v>
      </c>
      <c r="P14" s="117">
        <v>612488</v>
      </c>
      <c r="Q14" s="117">
        <v>756462</v>
      </c>
      <c r="R14" s="1">
        <v>819173</v>
      </c>
      <c r="S14" s="1">
        <v>1012052</v>
      </c>
      <c r="T14" s="1">
        <v>1051757</v>
      </c>
      <c r="U14" s="1">
        <v>1100146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441714</v>
      </c>
      <c r="P15" s="117">
        <v>633373</v>
      </c>
      <c r="Q15" s="117">
        <v>793541</v>
      </c>
      <c r="R15" s="1">
        <v>782795</v>
      </c>
      <c r="S15" s="1">
        <v>896263</v>
      </c>
      <c r="T15" s="1">
        <v>951393</v>
      </c>
      <c r="U15" s="1">
        <v>1048240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509135</v>
      </c>
      <c r="P16" s="95">
        <v>626994</v>
      </c>
      <c r="Q16" s="95">
        <v>694525</v>
      </c>
      <c r="R16" s="1">
        <v>775512</v>
      </c>
      <c r="S16" s="1">
        <v>920030</v>
      </c>
      <c r="T16" s="1">
        <v>1154563</v>
      </c>
      <c r="U16" s="1">
        <v>1026236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951166</v>
      </c>
      <c r="P17" s="96">
        <f>SUM(P5:P16)</f>
        <v>6920391</v>
      </c>
      <c r="Q17" s="96">
        <f>SUM(Q5:Q16)</f>
        <v>8140437</v>
      </c>
      <c r="R17" s="126">
        <f t="shared" ref="R17" si="0">SUM(R5:R16)</f>
        <v>9017770</v>
      </c>
      <c r="S17" s="126">
        <f>SUM(S5:S16)</f>
        <v>10692678</v>
      </c>
      <c r="T17" s="126">
        <f t="shared" ref="T17" si="1">SUM(T5:T16)</f>
        <v>11886123</v>
      </c>
      <c r="U17" s="126">
        <f>SUM(U5:U16)</f>
        <v>12116354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35270</v>
      </c>
      <c r="Q24" s="117">
        <v>44552</v>
      </c>
      <c r="R24" s="1">
        <v>44529</v>
      </c>
      <c r="S24" s="1">
        <v>50736</v>
      </c>
      <c r="T24" s="1">
        <v>44765</v>
      </c>
      <c r="U24" s="1">
        <v>85427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27530</v>
      </c>
      <c r="Q25" s="117">
        <v>33233</v>
      </c>
      <c r="R25" s="1">
        <v>29194</v>
      </c>
      <c r="S25" s="1">
        <v>27191</v>
      </c>
      <c r="T25" s="1">
        <v>34764</v>
      </c>
      <c r="U25" s="1">
        <v>22136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25114</v>
      </c>
      <c r="Q26" s="117">
        <v>21768</v>
      </c>
      <c r="R26" s="1">
        <v>33139</v>
      </c>
      <c r="S26" s="1">
        <v>27344</v>
      </c>
      <c r="T26" s="1">
        <v>34983</v>
      </c>
      <c r="U26" s="1">
        <v>25949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30077</v>
      </c>
      <c r="Q27" s="117">
        <v>27632</v>
      </c>
      <c r="R27" s="1">
        <v>54624</v>
      </c>
      <c r="S27" s="1">
        <v>31121</v>
      </c>
      <c r="T27" s="1">
        <v>56286</v>
      </c>
      <c r="U27" s="1">
        <v>47511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36541</v>
      </c>
      <c r="Q28" s="117">
        <v>43931</v>
      </c>
      <c r="R28" s="1">
        <v>19949</v>
      </c>
      <c r="S28" s="1">
        <v>28495</v>
      </c>
      <c r="T28" s="1">
        <v>47837</v>
      </c>
      <c r="U28" s="1">
        <v>35450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31564</v>
      </c>
      <c r="Q29" s="117">
        <v>31266</v>
      </c>
      <c r="R29" s="1">
        <v>33507</v>
      </c>
      <c r="S29" s="1">
        <v>38952</v>
      </c>
      <c r="T29" s="1">
        <v>49801</v>
      </c>
      <c r="U29" s="1">
        <v>51333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32270</v>
      </c>
      <c r="Q30" s="117">
        <v>32862</v>
      </c>
      <c r="R30" s="1">
        <v>30987</v>
      </c>
      <c r="S30" s="1">
        <v>41276</v>
      </c>
      <c r="T30" s="1">
        <v>50808</v>
      </c>
      <c r="U30" s="1">
        <v>43513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45829</v>
      </c>
      <c r="Q31" s="117">
        <v>27317</v>
      </c>
      <c r="R31" s="1">
        <v>27957</v>
      </c>
      <c r="S31" s="1">
        <v>30988</v>
      </c>
      <c r="T31" s="1">
        <v>45393</v>
      </c>
      <c r="U31" s="1">
        <v>45996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44943</v>
      </c>
      <c r="Q32" s="117">
        <v>26231</v>
      </c>
      <c r="R32" s="2">
        <v>28071</v>
      </c>
      <c r="S32" s="1">
        <v>33605</v>
      </c>
      <c r="T32" s="1">
        <v>54518</v>
      </c>
      <c r="U32" s="1">
        <v>50251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0</v>
      </c>
      <c r="P33" s="117">
        <v>30443</v>
      </c>
      <c r="Q33" s="117">
        <v>33487</v>
      </c>
      <c r="R33" s="1">
        <v>33242</v>
      </c>
      <c r="S33" s="1">
        <v>34289</v>
      </c>
      <c r="T33" s="1">
        <v>72080</v>
      </c>
      <c r="U33" s="1">
        <v>51152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24350</v>
      </c>
      <c r="P34" s="117">
        <v>35128</v>
      </c>
      <c r="Q34" s="117">
        <v>30069</v>
      </c>
      <c r="R34" s="1">
        <v>32330</v>
      </c>
      <c r="S34" s="1">
        <v>44823</v>
      </c>
      <c r="T34" s="1">
        <v>51368</v>
      </c>
      <c r="U34" s="1">
        <v>43122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28272</v>
      </c>
      <c r="P35" s="95">
        <v>36280</v>
      </c>
      <c r="Q35" s="95">
        <v>41332</v>
      </c>
      <c r="R35" s="1">
        <v>29093</v>
      </c>
      <c r="S35" s="1">
        <v>84396</v>
      </c>
      <c r="T35" s="1">
        <v>46615</v>
      </c>
      <c r="U35" s="1">
        <v>47710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52622</v>
      </c>
      <c r="P36" s="96">
        <f>SUM(P24:P35)</f>
        <v>410989</v>
      </c>
      <c r="Q36" s="96">
        <f>SUM(Q24:Q35)</f>
        <v>393680</v>
      </c>
      <c r="R36" s="126">
        <f t="shared" ref="R36" si="2">SUM(R24:R35)</f>
        <v>396622</v>
      </c>
      <c r="S36" s="126">
        <f>SUM(S24:S35)</f>
        <v>473216</v>
      </c>
      <c r="T36" s="126">
        <f t="shared" ref="T36" si="3">SUM(T24:T35)</f>
        <v>589218</v>
      </c>
      <c r="U36" s="126">
        <f>SUM(U24:U35)</f>
        <v>549550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-54</v>
      </c>
      <c r="Q42" s="117">
        <v>-848</v>
      </c>
      <c r="R42" s="1">
        <v>-1315</v>
      </c>
      <c r="S42" s="1">
        <v>-542</v>
      </c>
      <c r="T42" s="1">
        <v>-4986</v>
      </c>
      <c r="U42" s="1">
        <v>-106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-67</v>
      </c>
      <c r="Q43" s="117">
        <v>0</v>
      </c>
      <c r="R43" s="1">
        <v>-140</v>
      </c>
      <c r="S43" s="117">
        <v>-40</v>
      </c>
      <c r="T43" s="1">
        <v>-203</v>
      </c>
      <c r="U43" s="1">
        <v>-80385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-1052</v>
      </c>
      <c r="R44" s="1">
        <v>-2978</v>
      </c>
      <c r="S44" s="117">
        <v>-134</v>
      </c>
      <c r="T44" s="1">
        <v>-6101</v>
      </c>
      <c r="U44" s="117">
        <v>-189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-3097</v>
      </c>
      <c r="R45" s="1">
        <v>-3402</v>
      </c>
      <c r="S45" s="117">
        <v>-63</v>
      </c>
      <c r="T45" s="1">
        <v>-44</v>
      </c>
      <c r="U45" s="117">
        <v>-116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-158</v>
      </c>
      <c r="Q46" s="117">
        <v>-127</v>
      </c>
      <c r="R46" s="1">
        <v>-4756</v>
      </c>
      <c r="S46" s="117">
        <v>-445</v>
      </c>
      <c r="T46" s="1">
        <v>-6637</v>
      </c>
      <c r="U46" s="117">
        <v>-6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-9</v>
      </c>
      <c r="R47" s="1">
        <v>-565</v>
      </c>
      <c r="S47" s="1">
        <v>-3201</v>
      </c>
      <c r="T47" s="1">
        <v>-2906</v>
      </c>
      <c r="U47" s="1">
        <v>-4428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-361</v>
      </c>
      <c r="R48" s="1">
        <v>-7762</v>
      </c>
      <c r="S48" s="117">
        <v>-781</v>
      </c>
      <c r="T48" s="1">
        <v>-17</v>
      </c>
      <c r="U48" s="1">
        <v>-6424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-1197</v>
      </c>
      <c r="Q49" s="117">
        <v>-576</v>
      </c>
      <c r="R49" s="1">
        <v>-4699</v>
      </c>
      <c r="S49" s="1">
        <v>-4378</v>
      </c>
      <c r="T49" s="1">
        <v>-230</v>
      </c>
      <c r="U49" s="1">
        <v>-27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-371</v>
      </c>
      <c r="R50" s="117">
        <v>-2</v>
      </c>
      <c r="S50" s="117">
        <v>-120</v>
      </c>
      <c r="T50" s="1">
        <v>-642</v>
      </c>
      <c r="U50" s="117">
        <v>-624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-780</v>
      </c>
      <c r="Q51" s="117">
        <v>-197</v>
      </c>
      <c r="R51" s="1">
        <v>-1018</v>
      </c>
      <c r="S51" s="117">
        <v>-782</v>
      </c>
      <c r="T51" s="1">
        <v>-3425</v>
      </c>
      <c r="U51" s="1">
        <v>-3474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-98</v>
      </c>
      <c r="R52" s="1">
        <v>-1289</v>
      </c>
      <c r="S52" s="117">
        <v>-797</v>
      </c>
      <c r="T52" s="1">
        <v>-3362</v>
      </c>
      <c r="U52" s="117">
        <v>-198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>
        <v>-24</v>
      </c>
      <c r="P53" s="95">
        <v>-971</v>
      </c>
      <c r="Q53" s="95">
        <v>-3079</v>
      </c>
      <c r="R53" s="95">
        <v>-731</v>
      </c>
      <c r="S53" s="162">
        <v>-7</v>
      </c>
      <c r="T53" s="1">
        <v>-362</v>
      </c>
      <c r="U53" s="162">
        <v>-67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-24</v>
      </c>
      <c r="P54" s="96">
        <f>SUM(P42:P53)</f>
        <v>-3227</v>
      </c>
      <c r="Q54" s="96">
        <f>SUM(Q42:Q53)</f>
        <v>-9815</v>
      </c>
      <c r="R54" s="126">
        <f t="shared" ref="R54" si="4">SUM(R42:R53)</f>
        <v>-28657</v>
      </c>
      <c r="S54" s="126">
        <f>SUM(S42:S53)</f>
        <v>-11290</v>
      </c>
      <c r="T54" s="126">
        <f t="shared" ref="T54" si="5">SUM(T42:T53)</f>
        <v>-28915</v>
      </c>
      <c r="U54" s="126">
        <f>SUM(U42:U53)</f>
        <v>-96044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9" width="9.28515625" bestFit="1" customWidth="1"/>
  </cols>
  <sheetData>
    <row r="1" spans="1:21" x14ac:dyDescent="0.2">
      <c r="A1" s="121"/>
    </row>
    <row r="2" spans="1:21" x14ac:dyDescent="0.2">
      <c r="A2" s="24" t="s">
        <v>316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13525</v>
      </c>
      <c r="Q5" s="117">
        <v>13139</v>
      </c>
      <c r="R5" s="1">
        <v>12131</v>
      </c>
      <c r="S5" s="1">
        <v>15587</v>
      </c>
      <c r="T5" s="1">
        <v>18612</v>
      </c>
      <c r="U5" s="1">
        <v>18918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10783</v>
      </c>
      <c r="Q6" s="117">
        <v>11429</v>
      </c>
      <c r="R6" s="1">
        <v>11328</v>
      </c>
      <c r="S6" s="1">
        <v>14430</v>
      </c>
      <c r="T6" s="1">
        <v>16394</v>
      </c>
      <c r="U6" s="1">
        <v>15987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9085</v>
      </c>
      <c r="Q7" s="117">
        <v>7916</v>
      </c>
      <c r="R7" s="113">
        <v>10229</v>
      </c>
      <c r="S7" s="1">
        <v>14466</v>
      </c>
      <c r="T7" s="1">
        <v>13122</v>
      </c>
      <c r="U7" s="1">
        <v>12937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12729</v>
      </c>
      <c r="Q8" s="117">
        <v>9986</v>
      </c>
      <c r="R8" s="1">
        <v>13206</v>
      </c>
      <c r="S8" s="1">
        <v>16613</v>
      </c>
      <c r="T8" s="1">
        <v>17825</v>
      </c>
      <c r="U8" s="1">
        <v>15410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10488</v>
      </c>
      <c r="Q9" s="117">
        <v>12778</v>
      </c>
      <c r="R9" s="1">
        <v>14628</v>
      </c>
      <c r="S9" s="1">
        <v>19351</v>
      </c>
      <c r="T9" s="1">
        <v>17420</v>
      </c>
      <c r="U9" s="1">
        <v>17305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14376</v>
      </c>
      <c r="Q10" s="117">
        <v>18580</v>
      </c>
      <c r="R10" s="1">
        <v>19459</v>
      </c>
      <c r="S10" s="1">
        <v>22862</v>
      </c>
      <c r="T10" s="1">
        <v>26958</v>
      </c>
      <c r="U10" s="1">
        <v>26038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17707</v>
      </c>
      <c r="Q11" s="117">
        <v>17566</v>
      </c>
      <c r="R11" s="1">
        <v>19674</v>
      </c>
      <c r="S11" s="1">
        <v>23488</v>
      </c>
      <c r="T11" s="1">
        <v>30983</v>
      </c>
      <c r="U11" s="1">
        <v>32442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21134</v>
      </c>
      <c r="Q12" s="117">
        <v>19546</v>
      </c>
      <c r="R12" s="1">
        <v>27231</v>
      </c>
      <c r="S12" s="1">
        <v>26470</v>
      </c>
      <c r="T12" s="1">
        <v>29779</v>
      </c>
      <c r="U12" s="1">
        <v>31859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17001</v>
      </c>
      <c r="Q13" s="117">
        <v>15983</v>
      </c>
      <c r="R13" s="2">
        <v>20143</v>
      </c>
      <c r="S13" s="1">
        <v>21774</v>
      </c>
      <c r="T13" s="1">
        <v>25079</v>
      </c>
      <c r="U13" s="1">
        <v>28107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14547</v>
      </c>
      <c r="Q14" s="117">
        <v>16080</v>
      </c>
      <c r="R14" s="1">
        <v>19016</v>
      </c>
      <c r="S14" s="1">
        <v>19343</v>
      </c>
      <c r="T14" s="1">
        <v>22457</v>
      </c>
      <c r="U14" s="1">
        <v>21356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12176</v>
      </c>
      <c r="P15" s="117">
        <v>14145</v>
      </c>
      <c r="Q15" s="117">
        <v>13658</v>
      </c>
      <c r="R15" s="1">
        <v>18107</v>
      </c>
      <c r="S15" s="1">
        <v>19257</v>
      </c>
      <c r="T15" s="1">
        <v>20992</v>
      </c>
      <c r="U15" s="1">
        <v>20310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11502</v>
      </c>
      <c r="P16" s="95">
        <v>12504</v>
      </c>
      <c r="Q16" s="95">
        <v>12874</v>
      </c>
      <c r="R16" s="1">
        <v>13474</v>
      </c>
      <c r="S16" s="1">
        <v>15941</v>
      </c>
      <c r="T16" s="1">
        <v>16874</v>
      </c>
      <c r="U16" s="1">
        <v>18667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23678</v>
      </c>
      <c r="P17" s="96">
        <f>SUM(P5:P16)</f>
        <v>168024</v>
      </c>
      <c r="Q17" s="96">
        <f>SUM(Q5:Q16)</f>
        <v>169535</v>
      </c>
      <c r="R17" s="126">
        <f t="shared" ref="R17" si="0">SUM(R5:R16)</f>
        <v>198626</v>
      </c>
      <c r="S17" s="126">
        <f>SUM(S5:S16)</f>
        <v>229582</v>
      </c>
      <c r="T17" s="126">
        <f t="shared" ref="T17" si="1">SUM(T5:T16)</f>
        <v>256495</v>
      </c>
      <c r="U17" s="126">
        <f>SUM(U5:U16)</f>
        <v>259336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315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162</v>
      </c>
      <c r="Q24" s="117">
        <v>295</v>
      </c>
      <c r="R24" s="117">
        <v>407</v>
      </c>
      <c r="S24" s="117">
        <v>179</v>
      </c>
      <c r="T24" s="1">
        <v>355</v>
      </c>
      <c r="U24" s="1">
        <v>417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163</v>
      </c>
      <c r="Q25" s="117">
        <v>548</v>
      </c>
      <c r="R25" s="113">
        <v>254</v>
      </c>
      <c r="S25" s="117">
        <v>346</v>
      </c>
      <c r="T25" s="1">
        <v>259</v>
      </c>
      <c r="U25" s="117">
        <v>435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473</v>
      </c>
      <c r="Q26" s="117">
        <v>232</v>
      </c>
      <c r="R26" s="113">
        <v>192</v>
      </c>
      <c r="S26" s="117">
        <v>350</v>
      </c>
      <c r="T26" s="1">
        <v>133</v>
      </c>
      <c r="U26" s="117">
        <v>332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252</v>
      </c>
      <c r="Q27" s="117">
        <v>181</v>
      </c>
      <c r="R27" s="117">
        <v>158</v>
      </c>
      <c r="S27" s="117">
        <v>191</v>
      </c>
      <c r="T27" s="1">
        <v>978</v>
      </c>
      <c r="U27" s="117">
        <v>546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449</v>
      </c>
      <c r="Q28" s="117">
        <v>297</v>
      </c>
      <c r="R28" s="1">
        <v>165</v>
      </c>
      <c r="S28" s="117">
        <v>290</v>
      </c>
      <c r="T28" s="1">
        <v>230</v>
      </c>
      <c r="U28" s="117">
        <v>154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1396</v>
      </c>
      <c r="Q29" s="117">
        <v>316</v>
      </c>
      <c r="R29" s="117">
        <v>210</v>
      </c>
      <c r="S29" s="117">
        <v>316</v>
      </c>
      <c r="T29" s="1">
        <v>334</v>
      </c>
      <c r="U29" s="117">
        <v>302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558</v>
      </c>
      <c r="Q30" s="117">
        <v>299</v>
      </c>
      <c r="R30" s="1">
        <v>725</v>
      </c>
      <c r="S30" s="117">
        <v>452</v>
      </c>
      <c r="T30" s="1">
        <v>626</v>
      </c>
      <c r="U30" s="117">
        <v>543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343</v>
      </c>
      <c r="Q31" s="117">
        <v>888</v>
      </c>
      <c r="R31" s="117">
        <v>221</v>
      </c>
      <c r="S31" s="117">
        <v>1062</v>
      </c>
      <c r="T31" s="1">
        <v>418</v>
      </c>
      <c r="U31" s="117">
        <v>245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565</v>
      </c>
      <c r="Q32" s="117">
        <v>457</v>
      </c>
      <c r="R32" s="117">
        <v>182</v>
      </c>
      <c r="S32" s="117">
        <v>501</v>
      </c>
      <c r="T32" s="1">
        <v>472</v>
      </c>
      <c r="U32" s="117">
        <v>280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399</v>
      </c>
      <c r="Q33" s="117">
        <v>500</v>
      </c>
      <c r="R33" s="1">
        <v>566</v>
      </c>
      <c r="S33" s="117">
        <v>904</v>
      </c>
      <c r="T33" s="1">
        <v>555</v>
      </c>
      <c r="U33" s="117">
        <v>282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985</v>
      </c>
      <c r="P34" s="117">
        <v>173</v>
      </c>
      <c r="Q34" s="117">
        <v>895</v>
      </c>
      <c r="R34" s="117">
        <v>302</v>
      </c>
      <c r="S34" s="117">
        <v>310</v>
      </c>
      <c r="T34" s="1">
        <v>399</v>
      </c>
      <c r="U34" s="117">
        <v>531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203</v>
      </c>
      <c r="P35" s="95">
        <v>231</v>
      </c>
      <c r="Q35" s="95">
        <v>636</v>
      </c>
      <c r="R35" s="95">
        <v>739</v>
      </c>
      <c r="S35" s="162">
        <v>259</v>
      </c>
      <c r="T35" s="1">
        <v>343</v>
      </c>
      <c r="U35" s="162">
        <v>627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1188</v>
      </c>
      <c r="P36" s="96">
        <f>SUM(P24:P35)</f>
        <v>5164</v>
      </c>
      <c r="Q36" s="96">
        <f>SUM(Q24:Q35)</f>
        <v>5544</v>
      </c>
      <c r="R36" s="126">
        <f t="shared" ref="R36" si="2">SUM(R24:R35)</f>
        <v>4121</v>
      </c>
      <c r="S36" s="126">
        <f>SUM(S24:S35)</f>
        <v>5160</v>
      </c>
      <c r="T36" s="126">
        <f t="shared" ref="T36" si="3">SUM(T24:T35)</f>
        <v>5102</v>
      </c>
      <c r="U36" s="126">
        <f>SUM(U24:U35)</f>
        <v>4694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314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7">
        <v>0</v>
      </c>
      <c r="S48" s="117">
        <v>0</v>
      </c>
      <c r="T48" s="1">
        <v>-2</v>
      </c>
      <c r="U48" s="117">
        <v>-7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0</v>
      </c>
      <c r="Q53" s="168">
        <v>0</v>
      </c>
      <c r="R53" s="168">
        <v>0</v>
      </c>
      <c r="S53" s="182">
        <v>-82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0</v>
      </c>
      <c r="Q54" s="96">
        <f>SUM(Q42:Q53)</f>
        <v>0</v>
      </c>
      <c r="R54" s="126">
        <f t="shared" ref="R54" si="4">SUM(R42:R53)</f>
        <v>0</v>
      </c>
      <c r="S54" s="126">
        <f>SUM(S42:S53)</f>
        <v>-82</v>
      </c>
      <c r="T54" s="126">
        <f t="shared" ref="T54" si="5">SUM(T42:T53)</f>
        <v>-2</v>
      </c>
      <c r="U54" s="126">
        <f>SUM(U42:U53)</f>
        <v>-7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9" width="9.28515625" bestFit="1" customWidth="1"/>
  </cols>
  <sheetData>
    <row r="1" spans="1:21" x14ac:dyDescent="0.2">
      <c r="A1" s="121"/>
    </row>
    <row r="2" spans="1:21" x14ac:dyDescent="0.2">
      <c r="A2" s="24" t="s">
        <v>299</v>
      </c>
      <c r="B2" s="6">
        <v>5.0000000000000001E-3</v>
      </c>
      <c r="D2" s="94" t="s">
        <v>286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15003</v>
      </c>
      <c r="Q5" s="117">
        <v>17636</v>
      </c>
      <c r="R5" s="1">
        <v>22020</v>
      </c>
      <c r="S5" s="1">
        <v>22799</v>
      </c>
      <c r="T5" s="1">
        <v>22653</v>
      </c>
      <c r="U5" s="1">
        <v>26675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11717</v>
      </c>
      <c r="Q6" s="117">
        <v>13816</v>
      </c>
      <c r="R6" s="113">
        <v>14532</v>
      </c>
      <c r="S6" s="1">
        <v>17418</v>
      </c>
      <c r="T6" s="1">
        <v>17939</v>
      </c>
      <c r="U6" s="1">
        <v>21032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11784</v>
      </c>
      <c r="Q7" s="117">
        <v>12928</v>
      </c>
      <c r="R7" s="113">
        <v>14997</v>
      </c>
      <c r="S7" s="1">
        <v>15640</v>
      </c>
      <c r="T7" s="1">
        <v>18357</v>
      </c>
      <c r="U7" s="1">
        <v>18622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14938</v>
      </c>
      <c r="Q8" s="117">
        <v>15781</v>
      </c>
      <c r="R8" s="117">
        <v>15254</v>
      </c>
      <c r="S8" s="1">
        <v>21382</v>
      </c>
      <c r="T8" s="1">
        <v>19184</v>
      </c>
      <c r="U8" s="1">
        <v>19895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14369</v>
      </c>
      <c r="Q9" s="117">
        <v>15320</v>
      </c>
      <c r="R9" s="117">
        <v>16069</v>
      </c>
      <c r="S9" s="1">
        <v>19375</v>
      </c>
      <c r="T9" s="1">
        <v>18914</v>
      </c>
      <c r="U9" s="1">
        <v>19493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20363</v>
      </c>
      <c r="Q10" s="117">
        <v>22130</v>
      </c>
      <c r="R10" s="1">
        <v>23975</v>
      </c>
      <c r="S10" s="1">
        <v>27095</v>
      </c>
      <c r="T10" s="1">
        <v>23402</v>
      </c>
      <c r="U10" s="1">
        <v>27820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17418</v>
      </c>
      <c r="Q11" s="117">
        <v>19501</v>
      </c>
      <c r="R11" s="1">
        <v>21885</v>
      </c>
      <c r="S11" s="1">
        <v>24712</v>
      </c>
      <c r="T11" s="1">
        <v>24944</v>
      </c>
      <c r="U11" s="1">
        <v>27691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23254</v>
      </c>
      <c r="Q12" s="117">
        <v>20713</v>
      </c>
      <c r="R12" s="1">
        <v>25055</v>
      </c>
      <c r="S12" s="1">
        <v>22695</v>
      </c>
      <c r="T12" s="1">
        <v>27397</v>
      </c>
      <c r="U12" s="1">
        <v>25595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18489</v>
      </c>
      <c r="Q13" s="117">
        <v>18733</v>
      </c>
      <c r="R13" s="2">
        <v>22703</v>
      </c>
      <c r="S13" s="1">
        <v>23447</v>
      </c>
      <c r="T13" s="1">
        <v>27908</v>
      </c>
      <c r="U13" s="1">
        <v>24374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>
        <v>22</v>
      </c>
      <c r="P14" s="117">
        <v>18082</v>
      </c>
      <c r="Q14" s="117">
        <v>18041</v>
      </c>
      <c r="R14" s="1">
        <v>20662</v>
      </c>
      <c r="S14" s="1">
        <v>24963</v>
      </c>
      <c r="T14" s="1">
        <v>24260</v>
      </c>
      <c r="U14" s="1">
        <v>25010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>
        <v>13330</v>
      </c>
      <c r="P15" s="117">
        <v>17635</v>
      </c>
      <c r="Q15" s="117">
        <v>16504</v>
      </c>
      <c r="R15" s="1">
        <v>20837</v>
      </c>
      <c r="S15" s="1">
        <v>22412</v>
      </c>
      <c r="T15" s="1">
        <v>23864</v>
      </c>
      <c r="U15" s="1">
        <v>24215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>
        <v>13900</v>
      </c>
      <c r="P16" s="95">
        <v>14389</v>
      </c>
      <c r="Q16" s="95">
        <v>16927</v>
      </c>
      <c r="R16" s="1">
        <v>17148</v>
      </c>
      <c r="S16" s="1">
        <v>19629</v>
      </c>
      <c r="T16" s="1">
        <v>23398</v>
      </c>
      <c r="U16" s="1">
        <v>21710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>
        <f>SUM(O5:O16)</f>
        <v>27252</v>
      </c>
      <c r="P17" s="96">
        <f>SUM(P5:P16)</f>
        <v>197441</v>
      </c>
      <c r="Q17" s="96">
        <f>SUM(Q5:Q16)</f>
        <v>208030</v>
      </c>
      <c r="R17" s="126">
        <f t="shared" ref="R17" si="0">SUM(R5:R16)</f>
        <v>235137</v>
      </c>
      <c r="S17" s="126">
        <f>SUM(S5:S16)</f>
        <v>261567</v>
      </c>
      <c r="T17" s="126">
        <f t="shared" ref="T17" si="1">SUM(T5:T16)</f>
        <v>272220</v>
      </c>
      <c r="U17" s="126">
        <f>SUM(U5:U16)</f>
        <v>282132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300</v>
      </c>
      <c r="B21" s="6">
        <v>5.0000000000000001E-3</v>
      </c>
      <c r="D21" s="94" t="s">
        <v>286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2913</v>
      </c>
      <c r="Q24" s="117">
        <v>2011</v>
      </c>
      <c r="R24" s="1">
        <v>2293</v>
      </c>
      <c r="S24" s="1">
        <v>1342</v>
      </c>
      <c r="T24" s="1">
        <v>1249</v>
      </c>
      <c r="U24" s="1">
        <v>3306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3258</v>
      </c>
      <c r="Q25" s="117">
        <v>2702</v>
      </c>
      <c r="R25" s="113">
        <v>2668</v>
      </c>
      <c r="S25" s="117">
        <v>413</v>
      </c>
      <c r="T25" s="1">
        <v>4032</v>
      </c>
      <c r="U25" s="1">
        <v>2039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2317</v>
      </c>
      <c r="Q26" s="117">
        <v>2318</v>
      </c>
      <c r="R26" s="113">
        <v>2115</v>
      </c>
      <c r="S26" s="1">
        <v>1447</v>
      </c>
      <c r="T26" s="1">
        <v>2405</v>
      </c>
      <c r="U26" s="1">
        <v>3127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1868</v>
      </c>
      <c r="Q27" s="117">
        <v>2266</v>
      </c>
      <c r="R27" s="117">
        <v>1487</v>
      </c>
      <c r="S27" s="1">
        <v>2028</v>
      </c>
      <c r="T27" s="1">
        <v>2088</v>
      </c>
      <c r="U27" s="1">
        <v>2912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2701</v>
      </c>
      <c r="Q28" s="117">
        <v>1638</v>
      </c>
      <c r="R28" s="1">
        <v>1563</v>
      </c>
      <c r="S28" s="1">
        <v>2912</v>
      </c>
      <c r="T28" s="1">
        <v>2619</v>
      </c>
      <c r="U28" s="1">
        <v>1450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3189</v>
      </c>
      <c r="Q29" s="117">
        <v>1831</v>
      </c>
      <c r="R29" s="117">
        <v>1512</v>
      </c>
      <c r="S29" s="1">
        <v>2756</v>
      </c>
      <c r="T29" s="1">
        <v>2911</v>
      </c>
      <c r="U29" s="1">
        <v>3148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3334</v>
      </c>
      <c r="Q30" s="117">
        <v>3026</v>
      </c>
      <c r="R30" s="1">
        <v>2886</v>
      </c>
      <c r="S30" s="1">
        <v>4233</v>
      </c>
      <c r="T30" s="1">
        <v>2468</v>
      </c>
      <c r="U30" s="1">
        <v>3841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2982</v>
      </c>
      <c r="Q31" s="117">
        <v>2158</v>
      </c>
      <c r="R31" s="117">
        <v>651</v>
      </c>
      <c r="S31" s="1">
        <v>2095</v>
      </c>
      <c r="T31" s="1">
        <v>2758</v>
      </c>
      <c r="U31" s="1">
        <v>1291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1498</v>
      </c>
      <c r="Q32" s="117">
        <v>1746</v>
      </c>
      <c r="R32" s="2">
        <v>1738</v>
      </c>
      <c r="S32" s="1">
        <v>1038</v>
      </c>
      <c r="T32" s="1">
        <v>3803</v>
      </c>
      <c r="U32" s="1">
        <v>2817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>
        <v>0</v>
      </c>
      <c r="P33" s="117">
        <v>2410</v>
      </c>
      <c r="Q33" s="117">
        <v>2702</v>
      </c>
      <c r="R33" s="1">
        <v>1484</v>
      </c>
      <c r="S33" s="1">
        <v>1495</v>
      </c>
      <c r="T33" s="1">
        <v>2800</v>
      </c>
      <c r="U33" s="1">
        <v>1935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>
        <v>1028</v>
      </c>
      <c r="P34" s="117">
        <v>1759</v>
      </c>
      <c r="Q34" s="117">
        <v>2141</v>
      </c>
      <c r="R34" s="1">
        <v>3470</v>
      </c>
      <c r="S34" s="1">
        <v>2597</v>
      </c>
      <c r="T34" s="1">
        <v>2082</v>
      </c>
      <c r="U34" s="1">
        <v>2491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>
        <v>2411</v>
      </c>
      <c r="P35" s="95">
        <v>1973</v>
      </c>
      <c r="Q35" s="95">
        <v>2299</v>
      </c>
      <c r="R35" s="1">
        <v>1867</v>
      </c>
      <c r="S35" s="1">
        <v>3126</v>
      </c>
      <c r="T35" s="1">
        <v>2711</v>
      </c>
      <c r="U35" s="1">
        <v>2499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>
        <f>SUM(O24:O35)</f>
        <v>3439</v>
      </c>
      <c r="P36" s="96">
        <f>SUM(P24:P35)</f>
        <v>30202</v>
      </c>
      <c r="Q36" s="96">
        <f>SUM(Q24:Q35)</f>
        <v>26838</v>
      </c>
      <c r="R36" s="126">
        <f t="shared" ref="R36" si="2">SUM(R24:R35)</f>
        <v>23734</v>
      </c>
      <c r="S36" s="126">
        <f>SUM(S24:S35)</f>
        <v>25482</v>
      </c>
      <c r="T36" s="126">
        <f t="shared" ref="T36" si="3">SUM(T24:T35)</f>
        <v>31926</v>
      </c>
      <c r="U36" s="126">
        <f>SUM(U24:U35)</f>
        <v>30856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301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-13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17">
        <v>0</v>
      </c>
      <c r="S44" s="117">
        <v>-4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-2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-43</v>
      </c>
      <c r="R47" s="1">
        <v>-37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">
        <v>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-37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168">
        <v>0</v>
      </c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>
        <f>SUM(O42:O53)</f>
        <v>0</v>
      </c>
      <c r="P54" s="96">
        <f>SUM(P42:P53)</f>
        <v>0</v>
      </c>
      <c r="Q54" s="96">
        <f>SUM(Q42:Q53)</f>
        <v>-80</v>
      </c>
      <c r="R54" s="126">
        <f t="shared" ref="R54" si="4">SUM(R42:R53)</f>
        <v>-37</v>
      </c>
      <c r="S54" s="126">
        <f>SUM(S42:S53)</f>
        <v>-17</v>
      </c>
      <c r="T54" s="126">
        <f t="shared" ref="T54" si="5">SUM(T42:T53)</f>
        <v>-2</v>
      </c>
      <c r="U54" s="126">
        <f>SUM(U42:U53)</f>
        <v>0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U80"/>
  <sheetViews>
    <sheetView zoomScaleNormal="100"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19" width="10.7109375" bestFit="1" customWidth="1"/>
    <col min="20" max="20" width="9.28515625" bestFit="1" customWidth="1"/>
  </cols>
  <sheetData>
    <row r="1" spans="1:21" x14ac:dyDescent="0.2">
      <c r="A1" s="121"/>
    </row>
    <row r="2" spans="1:21" x14ac:dyDescent="0.2">
      <c r="A2" s="24" t="s">
        <v>332</v>
      </c>
      <c r="B2" s="6">
        <v>1.4999999999999999E-2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0</v>
      </c>
      <c r="Q5" s="117">
        <v>55523</v>
      </c>
      <c r="R5" s="117">
        <v>52729</v>
      </c>
      <c r="S5" s="1">
        <v>66952</v>
      </c>
      <c r="T5" s="1">
        <v>73308</v>
      </c>
      <c r="U5" s="1">
        <v>70229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36932</v>
      </c>
      <c r="Q6" s="117">
        <v>43418</v>
      </c>
      <c r="R6" s="1">
        <v>41676</v>
      </c>
      <c r="S6" s="1">
        <v>66924</v>
      </c>
      <c r="T6" s="1">
        <v>58275</v>
      </c>
      <c r="U6" s="1">
        <v>58508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46313</v>
      </c>
      <c r="Q7" s="117">
        <v>49461</v>
      </c>
      <c r="R7" s="113">
        <v>45983</v>
      </c>
      <c r="S7" s="1">
        <v>56403</v>
      </c>
      <c r="T7" s="1">
        <v>54873</v>
      </c>
      <c r="U7" s="1">
        <v>59405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46167</v>
      </c>
      <c r="Q8" s="117">
        <v>45057</v>
      </c>
      <c r="R8" s="1">
        <v>43621</v>
      </c>
      <c r="S8" s="1">
        <v>68334</v>
      </c>
      <c r="T8" s="1">
        <v>58309</v>
      </c>
      <c r="U8" s="1">
        <v>52766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41348</v>
      </c>
      <c r="Q9" s="117">
        <v>44889</v>
      </c>
      <c r="R9" s="1">
        <v>36263</v>
      </c>
      <c r="S9" s="1">
        <v>66130</v>
      </c>
      <c r="T9" s="1">
        <v>74565</v>
      </c>
      <c r="U9" s="1">
        <v>73696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59534</v>
      </c>
      <c r="Q10" s="117">
        <v>65733</v>
      </c>
      <c r="R10" s="1">
        <v>64688</v>
      </c>
      <c r="S10" s="1">
        <v>88678</v>
      </c>
      <c r="T10" s="1">
        <v>87540</v>
      </c>
      <c r="U10" s="1">
        <v>64072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80479</v>
      </c>
      <c r="Q11" s="117">
        <v>84625</v>
      </c>
      <c r="R11" s="1">
        <v>97903</v>
      </c>
      <c r="S11" s="1">
        <v>108603</v>
      </c>
      <c r="T11" s="1">
        <v>111578</v>
      </c>
      <c r="U11" s="1">
        <v>122473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106206</v>
      </c>
      <c r="Q12" s="117">
        <v>101949</v>
      </c>
      <c r="R12" s="1">
        <v>114908</v>
      </c>
      <c r="S12" s="1">
        <v>132942</v>
      </c>
      <c r="T12" s="1">
        <v>125247</v>
      </c>
      <c r="U12" s="1">
        <v>104859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96206</v>
      </c>
      <c r="Q13" s="117">
        <v>96975</v>
      </c>
      <c r="R13" s="2">
        <v>107854</v>
      </c>
      <c r="S13" s="1">
        <v>130732</v>
      </c>
      <c r="T13" s="1">
        <v>120463</v>
      </c>
      <c r="U13" s="1">
        <v>93466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67186</v>
      </c>
      <c r="Q14" s="117">
        <v>71340</v>
      </c>
      <c r="R14" s="1">
        <v>86304</v>
      </c>
      <c r="S14" s="1">
        <v>96713</v>
      </c>
      <c r="T14" s="1">
        <v>99589</v>
      </c>
      <c r="U14" s="1">
        <v>76148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52369</v>
      </c>
      <c r="Q15" s="117">
        <v>56243</v>
      </c>
      <c r="R15" s="1">
        <v>70014</v>
      </c>
      <c r="S15" s="1">
        <v>74933</v>
      </c>
      <c r="T15" s="1">
        <v>72055</v>
      </c>
      <c r="U15" s="1">
        <v>82835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48435</v>
      </c>
      <c r="Q16" s="95">
        <v>44530</v>
      </c>
      <c r="R16" s="1">
        <v>53317</v>
      </c>
      <c r="S16" s="1">
        <v>59808</v>
      </c>
      <c r="T16" s="1">
        <v>59978</v>
      </c>
      <c r="U16" s="1">
        <v>65117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681175</v>
      </c>
      <c r="Q17" s="96">
        <f>SUM(Q5:Q16)</f>
        <v>759743</v>
      </c>
      <c r="R17" s="126">
        <f t="shared" ref="R17" si="0">SUM(R5:R16)</f>
        <v>815260</v>
      </c>
      <c r="S17" s="126">
        <f>SUM(S5:S16)</f>
        <v>1017152</v>
      </c>
      <c r="T17" s="126">
        <f t="shared" ref="T17" si="1">SUM(T5:T16)</f>
        <v>995780</v>
      </c>
      <c r="U17" s="126">
        <f>SUM(U5:U16)</f>
        <v>923574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333</v>
      </c>
      <c r="B21" s="6">
        <v>1.4999999999999999E-2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541</v>
      </c>
      <c r="R24" s="117">
        <v>1272</v>
      </c>
      <c r="S24" s="1">
        <v>1075</v>
      </c>
      <c r="T24" s="1">
        <v>976</v>
      </c>
      <c r="U24" s="1">
        <v>2483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407</v>
      </c>
      <c r="Q25" s="117">
        <v>1429</v>
      </c>
      <c r="R25" s="113">
        <v>570</v>
      </c>
      <c r="S25" s="117">
        <v>584</v>
      </c>
      <c r="T25" s="1">
        <v>2082</v>
      </c>
      <c r="U25" s="1">
        <v>1752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492</v>
      </c>
      <c r="Q26" s="117">
        <v>292</v>
      </c>
      <c r="R26" s="113">
        <v>1277</v>
      </c>
      <c r="S26" s="1">
        <v>834</v>
      </c>
      <c r="T26" s="1">
        <v>951</v>
      </c>
      <c r="U26" s="1">
        <v>486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1248</v>
      </c>
      <c r="Q27" s="117">
        <v>1140</v>
      </c>
      <c r="R27" s="117">
        <v>599</v>
      </c>
      <c r="S27" s="117">
        <v>585</v>
      </c>
      <c r="T27" s="1">
        <v>754</v>
      </c>
      <c r="U27" s="117">
        <v>890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296</v>
      </c>
      <c r="Q28" s="117">
        <v>464</v>
      </c>
      <c r="R28" s="1">
        <v>210</v>
      </c>
      <c r="S28" s="1">
        <v>532</v>
      </c>
      <c r="T28" s="1">
        <v>255</v>
      </c>
      <c r="U28" s="1">
        <v>548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577</v>
      </c>
      <c r="Q29" s="117">
        <v>671</v>
      </c>
      <c r="R29" s="113">
        <v>417</v>
      </c>
      <c r="S29" s="1">
        <v>1474</v>
      </c>
      <c r="T29" s="1">
        <v>217</v>
      </c>
      <c r="U29" s="1">
        <v>1209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730</v>
      </c>
      <c r="Q30" s="117">
        <v>3095</v>
      </c>
      <c r="R30" s="1">
        <v>476</v>
      </c>
      <c r="S30" s="1">
        <v>1129</v>
      </c>
      <c r="T30" s="1">
        <v>859</v>
      </c>
      <c r="U30" s="1">
        <v>1366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431</v>
      </c>
      <c r="Q31" s="117">
        <v>722</v>
      </c>
      <c r="R31" s="1">
        <v>1110</v>
      </c>
      <c r="S31" s="1">
        <v>3222</v>
      </c>
      <c r="T31" s="1">
        <v>817</v>
      </c>
      <c r="U31" s="1">
        <v>503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1798</v>
      </c>
      <c r="Q32" s="117">
        <v>1273</v>
      </c>
      <c r="R32" s="2">
        <v>1577</v>
      </c>
      <c r="S32" s="1">
        <v>1011</v>
      </c>
      <c r="T32" s="1">
        <v>2518</v>
      </c>
      <c r="U32" s="1">
        <v>933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1980</v>
      </c>
      <c r="Q33" s="117">
        <v>1688</v>
      </c>
      <c r="R33" s="1">
        <v>1139</v>
      </c>
      <c r="S33" s="1">
        <v>1054</v>
      </c>
      <c r="T33" s="1">
        <v>3375</v>
      </c>
      <c r="U33" s="1">
        <v>3615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1666</v>
      </c>
      <c r="Q34" s="117">
        <v>831</v>
      </c>
      <c r="R34" s="1">
        <v>345</v>
      </c>
      <c r="S34" s="1">
        <v>1071</v>
      </c>
      <c r="T34" s="1">
        <v>962</v>
      </c>
      <c r="U34" s="1">
        <v>1596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1401</v>
      </c>
      <c r="Q35" s="95">
        <v>716</v>
      </c>
      <c r="R35" s="1">
        <v>5457</v>
      </c>
      <c r="S35" s="1">
        <v>1597</v>
      </c>
      <c r="T35" s="1">
        <v>1725</v>
      </c>
      <c r="U35" s="1">
        <v>2058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11026</v>
      </c>
      <c r="Q36" s="96">
        <f>SUM(Q24:Q35)</f>
        <v>12862</v>
      </c>
      <c r="R36" s="126">
        <f t="shared" ref="R36" si="2">SUM(R24:R35)</f>
        <v>14449</v>
      </c>
      <c r="S36" s="126">
        <f>SUM(S24:S35)</f>
        <v>14168</v>
      </c>
      <c r="T36" s="126">
        <f t="shared" ref="T36" si="3">SUM(T24:T35)</f>
        <v>15491</v>
      </c>
      <c r="U36" s="126">
        <f>SUM(U24:U35)</f>
        <v>17439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334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17">
        <v>0</v>
      </c>
      <c r="S44" s="117">
        <v>-6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-6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7">
        <v>-206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-396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-130</v>
      </c>
      <c r="R50" s="117">
        <v>0</v>
      </c>
      <c r="S50" s="1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-526</v>
      </c>
      <c r="R54" s="126">
        <f t="shared" ref="R54" si="4">SUM(R42:R53)</f>
        <v>-206</v>
      </c>
      <c r="S54" s="126">
        <f>SUM(S42:S53)</f>
        <v>-6</v>
      </c>
      <c r="T54" s="126">
        <f t="shared" ref="T54" si="5">SUM(T42:T53)</f>
        <v>-6</v>
      </c>
      <c r="U54" s="126">
        <f>SUM(U42:U53)</f>
        <v>-1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U80"/>
  <sheetViews>
    <sheetView workbookViewId="0">
      <pane xSplit="1" topLeftCell="Q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9" width="9.28515625" bestFit="1" customWidth="1"/>
  </cols>
  <sheetData>
    <row r="1" spans="1:21" x14ac:dyDescent="0.2">
      <c r="A1" s="121"/>
    </row>
    <row r="2" spans="1:21" x14ac:dyDescent="0.2">
      <c r="A2" s="24" t="s">
        <v>335</v>
      </c>
      <c r="B2" s="6">
        <v>0.01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0</v>
      </c>
      <c r="Q5" s="117">
        <v>90463</v>
      </c>
      <c r="R5" s="1">
        <v>92830</v>
      </c>
      <c r="S5" s="1">
        <v>2676</v>
      </c>
      <c r="T5" s="1">
        <v>70</v>
      </c>
      <c r="U5" s="1">
        <v>60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60783</v>
      </c>
      <c r="Q6" s="117">
        <v>64854</v>
      </c>
      <c r="R6" s="1">
        <v>70911</v>
      </c>
      <c r="S6" s="1">
        <v>1466</v>
      </c>
      <c r="T6" s="1">
        <v>13</v>
      </c>
      <c r="U6" s="1">
        <v>12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60576</v>
      </c>
      <c r="Q7" s="117">
        <v>63527</v>
      </c>
      <c r="R7" s="113">
        <v>68901</v>
      </c>
      <c r="S7" s="1">
        <v>1289</v>
      </c>
      <c r="T7" s="1">
        <v>1940</v>
      </c>
      <c r="U7" s="1">
        <v>24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70090</v>
      </c>
      <c r="Q8" s="117">
        <v>78589</v>
      </c>
      <c r="R8" s="1">
        <v>83153</v>
      </c>
      <c r="S8" s="1">
        <v>1924</v>
      </c>
      <c r="T8" s="1">
        <v>249</v>
      </c>
      <c r="U8" s="1">
        <v>634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69411</v>
      </c>
      <c r="Q9" s="117">
        <v>70475</v>
      </c>
      <c r="R9" s="1">
        <v>62736</v>
      </c>
      <c r="S9" s="117">
        <v>454</v>
      </c>
      <c r="T9" s="1">
        <v>6</v>
      </c>
      <c r="U9" s="117">
        <v>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74749</v>
      </c>
      <c r="Q10" s="117">
        <v>77978</v>
      </c>
      <c r="R10" s="113">
        <v>74124</v>
      </c>
      <c r="S10" s="1">
        <v>647</v>
      </c>
      <c r="T10" s="1">
        <v>382</v>
      </c>
      <c r="U10" s="1">
        <v>15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72066</v>
      </c>
      <c r="Q11" s="117">
        <v>81537</v>
      </c>
      <c r="R11" s="1">
        <v>83112</v>
      </c>
      <c r="S11" s="117">
        <v>79</v>
      </c>
      <c r="T11" s="1">
        <v>10</v>
      </c>
      <c r="U11" s="117">
        <v>426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84208</v>
      </c>
      <c r="Q12" s="117">
        <v>97577</v>
      </c>
      <c r="R12" s="1">
        <v>92583</v>
      </c>
      <c r="S12" s="1">
        <v>737</v>
      </c>
      <c r="T12" s="1">
        <v>151</v>
      </c>
      <c r="U12" s="1">
        <v>37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81142</v>
      </c>
      <c r="Q13" s="117">
        <v>76324</v>
      </c>
      <c r="R13" s="2">
        <v>85101</v>
      </c>
      <c r="S13" s="117">
        <v>292</v>
      </c>
      <c r="T13" s="1">
        <v>35</v>
      </c>
      <c r="U13" s="117">
        <v>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79124</v>
      </c>
      <c r="Q14" s="117">
        <v>84868</v>
      </c>
      <c r="R14" s="1">
        <v>84782</v>
      </c>
      <c r="S14" s="117">
        <v>181</v>
      </c>
      <c r="T14" s="1">
        <v>5</v>
      </c>
      <c r="U14" s="117">
        <v>-605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75616</v>
      </c>
      <c r="Q15" s="117">
        <v>73795</v>
      </c>
      <c r="R15" s="1">
        <v>279</v>
      </c>
      <c r="S15" s="117">
        <v>20</v>
      </c>
      <c r="T15" s="1">
        <v>48</v>
      </c>
      <c r="U15" s="117">
        <v>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75699</v>
      </c>
      <c r="Q16" s="95">
        <v>78988</v>
      </c>
      <c r="R16" s="1">
        <v>4392</v>
      </c>
      <c r="S16" s="95">
        <v>114</v>
      </c>
      <c r="T16" s="1">
        <v>237</v>
      </c>
      <c r="U16" s="95">
        <v>-140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803464</v>
      </c>
      <c r="Q17" s="96">
        <f>SUM(Q5:Q16)</f>
        <v>938975</v>
      </c>
      <c r="R17" s="126">
        <f t="shared" ref="R17" si="0">SUM(R5:R16)</f>
        <v>802904</v>
      </c>
      <c r="S17" s="126">
        <f>SUM(S5:S16)</f>
        <v>9879</v>
      </c>
      <c r="T17" s="126">
        <f t="shared" ref="T17" si="1">SUM(T5:T16)</f>
        <v>3146</v>
      </c>
      <c r="U17" s="126">
        <f>SUM(U5:U16)</f>
        <v>475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  <c r="R19" t="s">
        <v>446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336</v>
      </c>
      <c r="B21" s="6">
        <v>0.01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2732</v>
      </c>
      <c r="R24" s="1">
        <v>7373</v>
      </c>
      <c r="S24" s="1">
        <v>-14592</v>
      </c>
      <c r="T24" s="1">
        <v>28</v>
      </c>
      <c r="U24" s="1">
        <v>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984</v>
      </c>
      <c r="Q25" s="117">
        <v>1818</v>
      </c>
      <c r="R25" s="1">
        <v>2616</v>
      </c>
      <c r="S25" s="117">
        <v>141</v>
      </c>
      <c r="T25" s="1">
        <v>-25012</v>
      </c>
      <c r="U25" s="117">
        <v>0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1399</v>
      </c>
      <c r="Q26" s="117">
        <v>7758</v>
      </c>
      <c r="R26" s="113">
        <v>2753</v>
      </c>
      <c r="S26" s="117">
        <v>0</v>
      </c>
      <c r="T26" s="1">
        <v>0</v>
      </c>
      <c r="U26" s="117">
        <v>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1985</v>
      </c>
      <c r="Q27" s="117">
        <v>2531</v>
      </c>
      <c r="R27" s="1">
        <v>9156</v>
      </c>
      <c r="S27" s="117">
        <v>0</v>
      </c>
      <c r="T27" s="1">
        <v>0</v>
      </c>
      <c r="U27" s="117">
        <v>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3931</v>
      </c>
      <c r="Q28" s="117">
        <v>6158</v>
      </c>
      <c r="R28" s="1">
        <v>-840</v>
      </c>
      <c r="S28" s="117">
        <v>0</v>
      </c>
      <c r="T28" s="1">
        <v>0</v>
      </c>
      <c r="U28" s="117">
        <v>21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3468</v>
      </c>
      <c r="Q29" s="117">
        <v>7707</v>
      </c>
      <c r="R29" s="113">
        <v>7573</v>
      </c>
      <c r="S29" s="117">
        <v>0</v>
      </c>
      <c r="T29" s="1">
        <v>0</v>
      </c>
      <c r="U29" s="117">
        <v>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2845</v>
      </c>
      <c r="Q30" s="117">
        <v>9683</v>
      </c>
      <c r="R30" s="1">
        <v>8578</v>
      </c>
      <c r="S30" s="117">
        <v>-43</v>
      </c>
      <c r="T30" s="1">
        <v>0</v>
      </c>
      <c r="U30" s="117">
        <v>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4516</v>
      </c>
      <c r="Q31" s="117">
        <v>9225</v>
      </c>
      <c r="R31" s="1">
        <v>-1376</v>
      </c>
      <c r="S31" s="1">
        <v>-3356</v>
      </c>
      <c r="T31" s="1">
        <v>-21865</v>
      </c>
      <c r="U31" s="1">
        <v>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2028</v>
      </c>
      <c r="Q32" s="117">
        <v>10330</v>
      </c>
      <c r="R32" s="2">
        <v>11741</v>
      </c>
      <c r="S32" s="117">
        <v>89</v>
      </c>
      <c r="T32" s="1">
        <v>0</v>
      </c>
      <c r="U32" s="117">
        <v>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2299</v>
      </c>
      <c r="Q33" s="117">
        <v>6711</v>
      </c>
      <c r="R33" s="1">
        <v>3974</v>
      </c>
      <c r="S33" s="117">
        <v>0</v>
      </c>
      <c r="T33" s="1">
        <v>0</v>
      </c>
      <c r="U33" s="1">
        <v>-2897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1991</v>
      </c>
      <c r="Q34" s="117">
        <v>19657</v>
      </c>
      <c r="R34" s="117">
        <v>36</v>
      </c>
      <c r="S34" s="117">
        <v>0</v>
      </c>
      <c r="T34" s="1">
        <v>0</v>
      </c>
      <c r="U34" s="117">
        <v>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2884</v>
      </c>
      <c r="Q35" s="95">
        <v>4525</v>
      </c>
      <c r="R35" s="95">
        <v>47</v>
      </c>
      <c r="S35" s="168">
        <v>0</v>
      </c>
      <c r="T35" s="1">
        <v>0</v>
      </c>
      <c r="U35" s="168">
        <v>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28330</v>
      </c>
      <c r="Q36" s="96">
        <f>SUM(Q24:Q35)</f>
        <v>88835</v>
      </c>
      <c r="R36" s="126">
        <f t="shared" ref="R36" si="2">SUM(R24:R35)</f>
        <v>51631</v>
      </c>
      <c r="S36" s="126">
        <f>SUM(S24:S35)</f>
        <v>-17761</v>
      </c>
      <c r="T36" s="126">
        <f t="shared" ref="T36" si="3">SUM(T24:T35)</f>
        <v>-46849</v>
      </c>
      <c r="U36" s="126">
        <f>SUM(U24:U35)</f>
        <v>-2876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337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-36627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-11097</v>
      </c>
      <c r="R44" s="117">
        <v>0</v>
      </c>
      <c r="S44" s="117">
        <v>-172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-3</v>
      </c>
      <c r="R47" s="113">
        <v>-14042</v>
      </c>
      <c r="S47" s="117">
        <v>0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3">
        <v>0</v>
      </c>
      <c r="S48" s="1">
        <v>-14761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-29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-44940</v>
      </c>
      <c r="U50" s="117">
        <v>-8280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-434</v>
      </c>
      <c r="Q51" s="117">
        <v>0</v>
      </c>
      <c r="R51" s="117">
        <v>0</v>
      </c>
      <c r="S51" s="117">
        <v>-9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">
        <v>-22377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68">
        <v>0</v>
      </c>
      <c r="S53" s="168">
        <v>0</v>
      </c>
      <c r="T53" s="1">
        <v>0</v>
      </c>
      <c r="U53" s="168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-434</v>
      </c>
      <c r="Q54" s="96">
        <f>SUM(Q42:Q53)</f>
        <v>-11129</v>
      </c>
      <c r="R54" s="126">
        <f t="shared" ref="R54" si="4">SUM(R42:R53)</f>
        <v>-36419</v>
      </c>
      <c r="S54" s="126">
        <f>SUM(S42:S53)</f>
        <v>-14942</v>
      </c>
      <c r="T54" s="126">
        <f t="shared" ref="T54" si="5">SUM(T42:T53)</f>
        <v>-81567</v>
      </c>
      <c r="U54" s="126">
        <f>SUM(U42:U53)</f>
        <v>-8280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0" width="9.28515625" bestFit="1" customWidth="1"/>
    <col min="21" max="21" width="10.7109375" bestFit="1" customWidth="1"/>
  </cols>
  <sheetData>
    <row r="1" spans="1:21" x14ac:dyDescent="0.2">
      <c r="A1" s="121" t="s">
        <v>321</v>
      </c>
    </row>
    <row r="2" spans="1:21" x14ac:dyDescent="0.2">
      <c r="A2" s="24" t="s">
        <v>84</v>
      </c>
      <c r="B2" s="6">
        <v>2.5000000000000001E-3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203</v>
      </c>
      <c r="Q5" s="117">
        <v>63369</v>
      </c>
      <c r="R5" s="1">
        <v>69931</v>
      </c>
      <c r="S5" s="1">
        <v>75894</v>
      </c>
      <c r="T5" s="1">
        <v>85786</v>
      </c>
      <c r="U5" s="1">
        <v>82057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36195</v>
      </c>
      <c r="Q6" s="117">
        <v>57733</v>
      </c>
      <c r="R6" s="1">
        <v>55115</v>
      </c>
      <c r="S6" s="1">
        <v>60004</v>
      </c>
      <c r="T6" s="1">
        <v>65079</v>
      </c>
      <c r="U6" s="1">
        <v>71354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40009</v>
      </c>
      <c r="Q7" s="117">
        <v>49563</v>
      </c>
      <c r="R7" s="1">
        <v>51147</v>
      </c>
      <c r="S7" s="1">
        <v>70645</v>
      </c>
      <c r="T7" s="1">
        <v>63869</v>
      </c>
      <c r="U7" s="1">
        <v>69650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49415</v>
      </c>
      <c r="Q8" s="117">
        <v>58022</v>
      </c>
      <c r="R8" s="1">
        <v>63541</v>
      </c>
      <c r="S8" s="1">
        <v>79130</v>
      </c>
      <c r="T8" s="1">
        <v>80269</v>
      </c>
      <c r="U8" s="1">
        <v>83131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50309</v>
      </c>
      <c r="Q9" s="117">
        <v>58696</v>
      </c>
      <c r="R9" s="1">
        <v>57763</v>
      </c>
      <c r="S9" s="1">
        <v>70741</v>
      </c>
      <c r="T9" s="1">
        <v>70864</v>
      </c>
      <c r="U9" s="1">
        <v>82005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56897</v>
      </c>
      <c r="Q10" s="117">
        <v>69237</v>
      </c>
      <c r="R10" s="1">
        <v>68471</v>
      </c>
      <c r="S10" s="1">
        <v>78885</v>
      </c>
      <c r="T10" s="1">
        <v>84562</v>
      </c>
      <c r="U10" s="1">
        <v>98387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58595</v>
      </c>
      <c r="Q11" s="117">
        <v>69744</v>
      </c>
      <c r="R11" s="1">
        <v>75652</v>
      </c>
      <c r="S11" s="1">
        <v>93382</v>
      </c>
      <c r="T11" s="1">
        <v>94659</v>
      </c>
      <c r="U11" s="1">
        <v>109356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64928</v>
      </c>
      <c r="Q12" s="117">
        <v>78316</v>
      </c>
      <c r="R12" s="1">
        <v>76442</v>
      </c>
      <c r="S12" s="1">
        <v>101044</v>
      </c>
      <c r="T12" s="1">
        <v>88841</v>
      </c>
      <c r="U12" s="1">
        <v>102095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64758</v>
      </c>
      <c r="Q13" s="117">
        <v>68744</v>
      </c>
      <c r="R13" s="2">
        <v>74265</v>
      </c>
      <c r="S13" s="1">
        <v>88295</v>
      </c>
      <c r="T13" s="1">
        <v>89247</v>
      </c>
      <c r="U13" s="1">
        <v>100546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66052</v>
      </c>
      <c r="Q14" s="117">
        <v>66555</v>
      </c>
      <c r="R14" s="1">
        <v>72637</v>
      </c>
      <c r="S14" s="1">
        <v>92516</v>
      </c>
      <c r="T14" s="1">
        <v>93279</v>
      </c>
      <c r="U14" s="1">
        <v>96579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58974</v>
      </c>
      <c r="Q15" s="117">
        <v>63725</v>
      </c>
      <c r="R15" s="1">
        <v>72596</v>
      </c>
      <c r="S15" s="1">
        <v>79585</v>
      </c>
      <c r="T15" s="1">
        <v>81350</v>
      </c>
      <c r="U15" s="1">
        <v>97643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58205</v>
      </c>
      <c r="Q16" s="95">
        <v>64726</v>
      </c>
      <c r="R16" s="1">
        <v>67680</v>
      </c>
      <c r="S16" s="1">
        <v>73479</v>
      </c>
      <c r="T16" s="1">
        <v>88893</v>
      </c>
      <c r="U16" s="1">
        <v>86240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604540</v>
      </c>
      <c r="Q17" s="96">
        <f>SUM(Q5:Q16)</f>
        <v>768430</v>
      </c>
      <c r="R17" s="126">
        <f t="shared" ref="R17" si="0">SUM(R5:R16)</f>
        <v>805240</v>
      </c>
      <c r="S17" s="126">
        <f>SUM(S5:S16)</f>
        <v>963600</v>
      </c>
      <c r="T17" s="126">
        <f t="shared" ref="T17" si="1">SUM(T5:T16)</f>
        <v>986698</v>
      </c>
      <c r="U17" s="126">
        <f>SUM(U5:U16)</f>
        <v>1079043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5557</v>
      </c>
      <c r="R24" s="1">
        <v>4987</v>
      </c>
      <c r="S24" s="1">
        <v>-839</v>
      </c>
      <c r="T24" s="1">
        <v>4432</v>
      </c>
      <c r="U24" s="1">
        <v>7495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2272</v>
      </c>
      <c r="Q25" s="117">
        <v>3252</v>
      </c>
      <c r="R25" s="1">
        <v>4028</v>
      </c>
      <c r="S25" s="1">
        <v>2087</v>
      </c>
      <c r="T25" s="1">
        <v>-5231</v>
      </c>
      <c r="U25" s="1">
        <v>4218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5979</v>
      </c>
      <c r="Q26" s="117">
        <v>5072</v>
      </c>
      <c r="R26" s="113">
        <v>3778</v>
      </c>
      <c r="S26" s="1">
        <v>4330</v>
      </c>
      <c r="T26" s="1">
        <v>2210</v>
      </c>
      <c r="U26" s="1">
        <v>3874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4589</v>
      </c>
      <c r="Q27" s="117">
        <v>7979</v>
      </c>
      <c r="R27" s="1">
        <v>5881</v>
      </c>
      <c r="S27" s="1">
        <v>6737</v>
      </c>
      <c r="T27" s="1">
        <v>4897</v>
      </c>
      <c r="U27" s="1">
        <v>4369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3361</v>
      </c>
      <c r="Q28" s="117">
        <v>5902</v>
      </c>
      <c r="R28" s="1">
        <v>-3462</v>
      </c>
      <c r="S28" s="1">
        <v>4279</v>
      </c>
      <c r="T28" s="1">
        <v>3586</v>
      </c>
      <c r="U28" s="1">
        <v>2709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3329</v>
      </c>
      <c r="Q29" s="117">
        <v>5693</v>
      </c>
      <c r="R29" s="113">
        <v>4817</v>
      </c>
      <c r="S29" s="1">
        <v>3350</v>
      </c>
      <c r="T29" s="1">
        <v>5729</v>
      </c>
      <c r="U29" s="1">
        <v>7158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3781</v>
      </c>
      <c r="Q30" s="117">
        <v>11008</v>
      </c>
      <c r="R30" s="1">
        <v>6381</v>
      </c>
      <c r="S30" s="1">
        <v>4981</v>
      </c>
      <c r="T30" s="1">
        <v>6340</v>
      </c>
      <c r="U30" s="1">
        <v>9677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6111</v>
      </c>
      <c r="Q31" s="117">
        <v>8582</v>
      </c>
      <c r="R31" s="117">
        <v>369</v>
      </c>
      <c r="S31" s="1">
        <v>3539</v>
      </c>
      <c r="T31" s="1">
        <v>-4459</v>
      </c>
      <c r="U31" s="1">
        <v>1247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5202</v>
      </c>
      <c r="Q32" s="117">
        <v>7301</v>
      </c>
      <c r="R32" s="2">
        <v>5686</v>
      </c>
      <c r="S32" s="1">
        <v>2773</v>
      </c>
      <c r="T32" s="1">
        <v>7160</v>
      </c>
      <c r="U32" s="1">
        <v>8103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7056</v>
      </c>
      <c r="Q33" s="117">
        <v>6420</v>
      </c>
      <c r="R33" s="1">
        <v>4042</v>
      </c>
      <c r="S33" s="1">
        <v>5929</v>
      </c>
      <c r="T33" s="1">
        <v>10618</v>
      </c>
      <c r="U33" s="1">
        <v>3328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5061</v>
      </c>
      <c r="Q34" s="117">
        <v>8076</v>
      </c>
      <c r="R34" s="1">
        <v>2917</v>
      </c>
      <c r="S34" s="1">
        <v>4662</v>
      </c>
      <c r="T34" s="1">
        <v>7041</v>
      </c>
      <c r="U34" s="1">
        <v>6046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4983</v>
      </c>
      <c r="Q35" s="95">
        <v>3731</v>
      </c>
      <c r="R35" s="1">
        <v>3151</v>
      </c>
      <c r="S35" s="1">
        <v>3207</v>
      </c>
      <c r="T35" s="1">
        <v>3417</v>
      </c>
      <c r="U35" s="1">
        <v>6315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51724</v>
      </c>
      <c r="Q36" s="96">
        <f>SUM(Q24:Q35)</f>
        <v>78573</v>
      </c>
      <c r="R36" s="126">
        <f t="shared" ref="R36" si="2">SUM(R24:R35)</f>
        <v>42575</v>
      </c>
      <c r="S36" s="126">
        <f>SUM(S24:S35)</f>
        <v>45035</v>
      </c>
      <c r="T36" s="126">
        <f t="shared" ref="T36" si="3">SUM(T24:T35)</f>
        <v>45740</v>
      </c>
      <c r="U36" s="126">
        <f>SUM(U24:U35)</f>
        <v>64539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-8</v>
      </c>
      <c r="T42" s="1">
        <v>-508</v>
      </c>
      <c r="U42" s="117">
        <v>-610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3">
        <v>0</v>
      </c>
      <c r="S43" s="117">
        <v>0</v>
      </c>
      <c r="T43" s="1">
        <v>-17021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-4988</v>
      </c>
      <c r="R44" s="113">
        <v>-1180</v>
      </c>
      <c r="S44" s="117">
        <v>-188</v>
      </c>
      <c r="T44" s="1">
        <v>-3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-2</v>
      </c>
      <c r="Q45" s="117">
        <v>0</v>
      </c>
      <c r="R45" s="117">
        <v>0</v>
      </c>
      <c r="S45" s="117">
        <v>-28</v>
      </c>
      <c r="T45" s="1">
        <v>-402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">
        <v>-819</v>
      </c>
      <c r="S46" s="117">
        <v>0</v>
      </c>
      <c r="T46" s="1">
        <v>-6</v>
      </c>
      <c r="U46" s="117">
        <v>-1180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-3561</v>
      </c>
      <c r="R47" s="113">
        <v>-4266</v>
      </c>
      <c r="S47" s="117">
        <v>-1131</v>
      </c>
      <c r="T47" s="1">
        <v>0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">
        <v>-1180</v>
      </c>
      <c r="S48" s="1">
        <v>-5782</v>
      </c>
      <c r="T48" s="1">
        <v>-412</v>
      </c>
      <c r="U48" s="1">
        <v>-71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-10</v>
      </c>
      <c r="R49" s="117">
        <v>-789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-17467</v>
      </c>
      <c r="U50" s="1">
        <v>-6973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-109</v>
      </c>
      <c r="Q51" s="117">
        <v>0</v>
      </c>
      <c r="R51" s="117">
        <v>-209</v>
      </c>
      <c r="S51" s="117">
        <v>-36</v>
      </c>
      <c r="T51" s="1">
        <v>0</v>
      </c>
      <c r="U51" s="1">
        <v>-3457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">
        <v>-9289</v>
      </c>
      <c r="S52" s="117">
        <v>-404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-111</v>
      </c>
      <c r="Q54" s="96">
        <f>SUM(Q42:Q53)</f>
        <v>-8559</v>
      </c>
      <c r="R54" s="126">
        <f t="shared" ref="R54" si="4">SUM(R42:R53)</f>
        <v>-17732</v>
      </c>
      <c r="S54" s="126">
        <f>SUM(S42:S53)</f>
        <v>-7577</v>
      </c>
      <c r="T54" s="126">
        <f t="shared" ref="T54" si="5">SUM(T42:T53)</f>
        <v>-35819</v>
      </c>
      <c r="U54" s="126">
        <f>SUM(U42:U53)</f>
        <v>-12291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323</v>
      </c>
    </row>
    <row r="2" spans="1:21" x14ac:dyDescent="0.2">
      <c r="A2" s="24" t="s">
        <v>84</v>
      </c>
      <c r="B2" s="6">
        <v>5.0000000000000001E-3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1</v>
      </c>
      <c r="Q5" s="117">
        <v>171691</v>
      </c>
      <c r="R5" s="1">
        <v>179947</v>
      </c>
      <c r="S5" s="1">
        <v>200888</v>
      </c>
      <c r="T5" s="1">
        <v>205096</v>
      </c>
      <c r="U5" s="1">
        <v>215499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108850</v>
      </c>
      <c r="Q6" s="117">
        <v>133320</v>
      </c>
      <c r="R6" s="1">
        <v>145585</v>
      </c>
      <c r="S6" s="1">
        <v>151961</v>
      </c>
      <c r="T6" s="1">
        <v>173011</v>
      </c>
      <c r="U6" s="1">
        <v>183523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106118</v>
      </c>
      <c r="Q7" s="117">
        <v>122699</v>
      </c>
      <c r="R7" s="1">
        <v>130147</v>
      </c>
      <c r="S7" s="1">
        <v>144742</v>
      </c>
      <c r="T7" s="1">
        <v>156497</v>
      </c>
      <c r="U7" s="1">
        <v>169961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128726</v>
      </c>
      <c r="Q8" s="117">
        <v>145998</v>
      </c>
      <c r="R8" s="1">
        <v>149144</v>
      </c>
      <c r="S8" s="1">
        <v>191174</v>
      </c>
      <c r="T8" s="1">
        <v>186324</v>
      </c>
      <c r="U8" s="1">
        <v>199954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124605</v>
      </c>
      <c r="Q9" s="117">
        <v>159822</v>
      </c>
      <c r="R9" s="1">
        <v>134831</v>
      </c>
      <c r="S9" s="1">
        <v>180139</v>
      </c>
      <c r="T9" s="1">
        <v>177769</v>
      </c>
      <c r="U9" s="1">
        <v>202309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139823</v>
      </c>
      <c r="Q10" s="117">
        <v>148020</v>
      </c>
      <c r="R10" s="1">
        <v>159945</v>
      </c>
      <c r="S10" s="1">
        <v>183298</v>
      </c>
      <c r="T10" s="1">
        <v>198162</v>
      </c>
      <c r="U10" s="1">
        <v>221209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135203</v>
      </c>
      <c r="Q11" s="117">
        <v>149853</v>
      </c>
      <c r="R11" s="1">
        <v>151593</v>
      </c>
      <c r="S11" s="1">
        <v>183492</v>
      </c>
      <c r="T11" s="1">
        <v>215742</v>
      </c>
      <c r="U11" s="1">
        <v>228389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170292</v>
      </c>
      <c r="Q12" s="117">
        <v>184096</v>
      </c>
      <c r="R12" s="1">
        <v>202329</v>
      </c>
      <c r="S12" s="1">
        <v>209766</v>
      </c>
      <c r="T12" s="1">
        <v>225196</v>
      </c>
      <c r="U12" s="1">
        <v>212527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170969</v>
      </c>
      <c r="Q13" s="117">
        <v>169695</v>
      </c>
      <c r="R13" s="2">
        <v>188897</v>
      </c>
      <c r="S13" s="1">
        <v>188507</v>
      </c>
      <c r="T13" s="1">
        <v>206617</v>
      </c>
      <c r="U13" s="1">
        <v>219337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145139</v>
      </c>
      <c r="Q14" s="117">
        <v>170227</v>
      </c>
      <c r="R14" s="1">
        <v>179841</v>
      </c>
      <c r="S14" s="1">
        <v>199299</v>
      </c>
      <c r="T14" s="1">
        <v>212021</v>
      </c>
      <c r="U14" s="1">
        <v>236755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143308</v>
      </c>
      <c r="Q15" s="117">
        <v>169517</v>
      </c>
      <c r="R15" s="1">
        <v>180489</v>
      </c>
      <c r="S15" s="1">
        <v>182985</v>
      </c>
      <c r="T15" s="1">
        <v>212872</v>
      </c>
      <c r="U15" s="1">
        <v>212783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144561</v>
      </c>
      <c r="Q16" s="95">
        <v>158941</v>
      </c>
      <c r="R16" s="1">
        <v>200829</v>
      </c>
      <c r="S16" s="1">
        <v>189614</v>
      </c>
      <c r="T16" s="1">
        <v>207553</v>
      </c>
      <c r="U16" s="1">
        <v>218118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1517595</v>
      </c>
      <c r="Q17" s="96">
        <f>SUM(Q5:Q16)</f>
        <v>1883879</v>
      </c>
      <c r="R17" s="126">
        <f t="shared" ref="R17" si="0">SUM(R5:R16)</f>
        <v>2003577</v>
      </c>
      <c r="S17" s="126">
        <f>SUM(S5:S16)</f>
        <v>2205865</v>
      </c>
      <c r="T17" s="126">
        <f t="shared" ref="T17" si="1">SUM(T5:T16)</f>
        <v>2376860</v>
      </c>
      <c r="U17" s="126">
        <f>SUM(U5:U16)</f>
        <v>2520364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10589</v>
      </c>
      <c r="R24" s="117">
        <v>9154</v>
      </c>
      <c r="S24" s="1">
        <v>9207</v>
      </c>
      <c r="T24" s="1">
        <v>6134</v>
      </c>
      <c r="U24" s="1">
        <v>8994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2895</v>
      </c>
      <c r="Q25" s="117">
        <v>5018</v>
      </c>
      <c r="R25" s="1">
        <v>4702</v>
      </c>
      <c r="S25" s="1">
        <v>5447</v>
      </c>
      <c r="T25" s="1">
        <v>6192</v>
      </c>
      <c r="U25" s="1">
        <v>5824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5059</v>
      </c>
      <c r="Q26" s="117">
        <v>4191</v>
      </c>
      <c r="R26" s="1">
        <v>5746</v>
      </c>
      <c r="S26" s="1">
        <v>6072</v>
      </c>
      <c r="T26" s="1">
        <v>4833</v>
      </c>
      <c r="U26" s="1">
        <v>4424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5541</v>
      </c>
      <c r="Q27" s="117">
        <v>8886</v>
      </c>
      <c r="R27" s="117">
        <v>6395</v>
      </c>
      <c r="S27" s="1">
        <v>8592</v>
      </c>
      <c r="T27" s="1">
        <v>11068</v>
      </c>
      <c r="U27" s="1">
        <v>7089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4109</v>
      </c>
      <c r="Q28" s="117">
        <v>7378</v>
      </c>
      <c r="R28" s="1">
        <v>4468</v>
      </c>
      <c r="S28" s="1">
        <v>6590</v>
      </c>
      <c r="T28" s="1">
        <v>10113</v>
      </c>
      <c r="U28" s="1">
        <v>5524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4364</v>
      </c>
      <c r="Q29" s="117">
        <v>4092</v>
      </c>
      <c r="R29" s="1">
        <v>7816</v>
      </c>
      <c r="S29" s="1">
        <v>1460</v>
      </c>
      <c r="T29" s="1">
        <v>9587</v>
      </c>
      <c r="U29" s="1">
        <v>5211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5646</v>
      </c>
      <c r="Q30" s="117">
        <v>6834</v>
      </c>
      <c r="R30" s="1">
        <v>7981</v>
      </c>
      <c r="S30" s="1">
        <v>6788</v>
      </c>
      <c r="T30" s="1">
        <v>10575</v>
      </c>
      <c r="U30" s="1">
        <v>7827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5737</v>
      </c>
      <c r="Q31" s="117">
        <v>6522</v>
      </c>
      <c r="R31" s="1">
        <v>5309</v>
      </c>
      <c r="S31" s="1">
        <v>4723</v>
      </c>
      <c r="T31" s="1">
        <v>6327</v>
      </c>
      <c r="U31" s="1">
        <v>5280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4024</v>
      </c>
      <c r="Q32" s="117">
        <v>2648</v>
      </c>
      <c r="R32" s="2">
        <v>7504</v>
      </c>
      <c r="S32" s="1">
        <v>5759</v>
      </c>
      <c r="T32" s="1">
        <v>7326</v>
      </c>
      <c r="U32" s="1">
        <v>5916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5616</v>
      </c>
      <c r="Q33" s="117">
        <v>11866</v>
      </c>
      <c r="R33" s="1">
        <v>4608</v>
      </c>
      <c r="S33" s="1">
        <v>5717</v>
      </c>
      <c r="T33" s="1">
        <v>7353</v>
      </c>
      <c r="U33" s="1">
        <v>9841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5506</v>
      </c>
      <c r="Q34" s="117">
        <v>6831</v>
      </c>
      <c r="R34" s="1">
        <v>6102</v>
      </c>
      <c r="S34" s="1">
        <v>7451</v>
      </c>
      <c r="T34" s="1">
        <v>7900</v>
      </c>
      <c r="U34" s="1">
        <v>8143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4825</v>
      </c>
      <c r="Q35" s="95">
        <v>5917</v>
      </c>
      <c r="R35" s="1">
        <v>6210</v>
      </c>
      <c r="S35" s="1">
        <v>15099</v>
      </c>
      <c r="T35" s="1">
        <v>8560</v>
      </c>
      <c r="U35" s="1">
        <v>8722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53322</v>
      </c>
      <c r="Q36" s="96">
        <f>SUM(Q24:Q35)</f>
        <v>80772</v>
      </c>
      <c r="R36" s="126">
        <f t="shared" ref="R36" si="2">SUM(R24:R35)</f>
        <v>75995</v>
      </c>
      <c r="S36" s="126">
        <f>SUM(S24:S35)</f>
        <v>82905</v>
      </c>
      <c r="T36" s="126">
        <f t="shared" ref="T36" si="3">SUM(T24:T35)</f>
        <v>95968</v>
      </c>
      <c r="U36" s="126">
        <f>SUM(U24:U35)</f>
        <v>82795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-1</v>
      </c>
      <c r="S42" s="117">
        <v>0</v>
      </c>
      <c r="T42" s="1">
        <v>-175</v>
      </c>
      <c r="U42" s="1">
        <v>-1140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">
        <v>-76</v>
      </c>
      <c r="S43" s="117">
        <v>-208</v>
      </c>
      <c r="T43" s="1">
        <v>0</v>
      </c>
      <c r="U43" s="117">
        <v>-1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-212</v>
      </c>
      <c r="R44" s="117">
        <v>0</v>
      </c>
      <c r="S44" s="117">
        <v>-659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-1</v>
      </c>
      <c r="U46" s="117">
        <v>-28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-102</v>
      </c>
      <c r="R47" s="143">
        <v>-2</v>
      </c>
      <c r="S47" s="117">
        <v>0</v>
      </c>
      <c r="T47" s="1">
        <v>-102</v>
      </c>
      <c r="U47" s="1">
        <v>-2887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43">
        <v>0</v>
      </c>
      <c r="S48" s="117">
        <v>0</v>
      </c>
      <c r="T48" s="1">
        <v>-816</v>
      </c>
      <c r="U48" s="117">
        <v>-12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-1328</v>
      </c>
      <c r="R49" s="117">
        <v>-35</v>
      </c>
      <c r="S49" s="1">
        <v>-1404</v>
      </c>
      <c r="T49" s="1">
        <v>-224</v>
      </c>
      <c r="U49" s="1">
        <v>-3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-4290</v>
      </c>
      <c r="R50" s="117">
        <v>0</v>
      </c>
      <c r="S50" s="117">
        <v>-343</v>
      </c>
      <c r="T50" s="1">
        <v>0</v>
      </c>
      <c r="U50" s="117">
        <v>-172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-1</v>
      </c>
      <c r="R51" s="117">
        <v>0</v>
      </c>
      <c r="S51" s="117">
        <v>0</v>
      </c>
      <c r="T51" s="1">
        <v>0</v>
      </c>
      <c r="U51" s="117">
        <v>-9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-76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">
        <v>-8825</v>
      </c>
      <c r="S53" s="182">
        <v>-344</v>
      </c>
      <c r="T53" s="1">
        <v>-2</v>
      </c>
      <c r="U53" s="182">
        <v>-875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-6009</v>
      </c>
      <c r="R54" s="126">
        <f t="shared" ref="R54" si="4">SUM(R42:R53)</f>
        <v>-8939</v>
      </c>
      <c r="S54" s="126">
        <f>SUM(S42:S53)</f>
        <v>-2958</v>
      </c>
      <c r="T54" s="126">
        <f t="shared" ref="T54" si="5">SUM(T42:T53)</f>
        <v>-1320</v>
      </c>
      <c r="U54" s="126">
        <f>SUM(U42:U53)</f>
        <v>-5127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324</v>
      </c>
    </row>
    <row r="2" spans="1:21" x14ac:dyDescent="0.2">
      <c r="A2" s="24" t="s">
        <v>84</v>
      </c>
      <c r="B2" s="6">
        <v>5.0000000000000001E-3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60</v>
      </c>
      <c r="Q5" s="117">
        <v>132525</v>
      </c>
      <c r="R5" s="1">
        <v>137472</v>
      </c>
      <c r="S5" s="1">
        <v>144304</v>
      </c>
      <c r="T5" s="1">
        <v>163223</v>
      </c>
      <c r="U5" s="1">
        <v>187463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74492</v>
      </c>
      <c r="Q6" s="117">
        <v>106358</v>
      </c>
      <c r="R6" s="1">
        <v>108818</v>
      </c>
      <c r="S6" s="1">
        <v>110582</v>
      </c>
      <c r="T6" s="1">
        <v>137975</v>
      </c>
      <c r="U6" s="1">
        <v>140756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86046</v>
      </c>
      <c r="Q7" s="117">
        <v>96338</v>
      </c>
      <c r="R7" s="1">
        <v>120542</v>
      </c>
      <c r="S7" s="1">
        <v>115614</v>
      </c>
      <c r="T7" s="1">
        <v>125655</v>
      </c>
      <c r="U7" s="1">
        <v>140890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98343</v>
      </c>
      <c r="Q8" s="117">
        <v>110716</v>
      </c>
      <c r="R8" s="1">
        <v>108376</v>
      </c>
      <c r="S8" s="1">
        <v>145293</v>
      </c>
      <c r="T8" s="1">
        <v>152327</v>
      </c>
      <c r="U8" s="1">
        <v>170643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95318</v>
      </c>
      <c r="Q9" s="117">
        <v>115339</v>
      </c>
      <c r="R9" s="1">
        <v>106401</v>
      </c>
      <c r="S9" s="1">
        <v>142411</v>
      </c>
      <c r="T9" s="1">
        <v>150319</v>
      </c>
      <c r="U9" s="1">
        <v>159664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119376</v>
      </c>
      <c r="Q10" s="117">
        <v>123585</v>
      </c>
      <c r="R10" s="1">
        <v>127826</v>
      </c>
      <c r="S10" s="1">
        <v>148845</v>
      </c>
      <c r="T10" s="1">
        <v>204685</v>
      </c>
      <c r="U10" s="1">
        <v>186719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112955</v>
      </c>
      <c r="Q11" s="117">
        <v>126612</v>
      </c>
      <c r="R11" s="1">
        <v>132195</v>
      </c>
      <c r="S11" s="1">
        <v>148562</v>
      </c>
      <c r="T11" s="1">
        <v>175723</v>
      </c>
      <c r="U11" s="1">
        <v>202337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133576</v>
      </c>
      <c r="Q12" s="117">
        <v>135487</v>
      </c>
      <c r="R12" s="1">
        <v>136992</v>
      </c>
      <c r="S12" s="1">
        <v>171599</v>
      </c>
      <c r="T12" s="1">
        <v>173743</v>
      </c>
      <c r="U12" s="1">
        <v>184470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123636</v>
      </c>
      <c r="Q13" s="117">
        <v>132054</v>
      </c>
      <c r="R13" s="2">
        <v>126726</v>
      </c>
      <c r="S13" s="1">
        <v>167176</v>
      </c>
      <c r="T13" s="1">
        <v>180592</v>
      </c>
      <c r="U13" s="1">
        <v>189253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126275</v>
      </c>
      <c r="Q14" s="117">
        <v>133662</v>
      </c>
      <c r="R14" s="1">
        <v>143167</v>
      </c>
      <c r="S14" s="1">
        <v>162662</v>
      </c>
      <c r="T14" s="1">
        <v>184910</v>
      </c>
      <c r="U14" s="1">
        <v>208482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128510</v>
      </c>
      <c r="Q15" s="117">
        <v>126006</v>
      </c>
      <c r="R15" s="1">
        <v>130598</v>
      </c>
      <c r="S15" s="1">
        <v>149040</v>
      </c>
      <c r="T15" s="1">
        <v>201256</v>
      </c>
      <c r="U15" s="1">
        <v>172071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121980</v>
      </c>
      <c r="Q16" s="95">
        <v>114962</v>
      </c>
      <c r="R16" s="1">
        <v>131813</v>
      </c>
      <c r="S16" s="1">
        <v>138866</v>
      </c>
      <c r="T16" s="1">
        <v>178037</v>
      </c>
      <c r="U16" s="1">
        <v>169737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1220567</v>
      </c>
      <c r="Q17" s="96">
        <f>SUM(Q5:Q16)</f>
        <v>1453644</v>
      </c>
      <c r="R17" s="126">
        <f t="shared" ref="R17" si="0">SUM(R5:R16)</f>
        <v>1510926</v>
      </c>
      <c r="S17" s="126">
        <f>SUM(S5:S16)</f>
        <v>1744954</v>
      </c>
      <c r="T17" s="126">
        <f t="shared" ref="T17" si="1">SUM(T5:T16)</f>
        <v>2028445</v>
      </c>
      <c r="U17" s="126">
        <f>SUM(U5:U16)</f>
        <v>2112485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6484</v>
      </c>
      <c r="R24" s="117">
        <v>7128</v>
      </c>
      <c r="S24" s="1">
        <v>6560</v>
      </c>
      <c r="T24" s="1">
        <v>9551</v>
      </c>
      <c r="U24" s="1">
        <v>8087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3855</v>
      </c>
      <c r="Q25" s="117">
        <v>5971</v>
      </c>
      <c r="R25" s="1">
        <v>7204</v>
      </c>
      <c r="S25" s="1">
        <v>4771</v>
      </c>
      <c r="T25" s="1">
        <v>5699</v>
      </c>
      <c r="U25" s="1">
        <v>5019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2783</v>
      </c>
      <c r="Q26" s="117">
        <v>5160</v>
      </c>
      <c r="R26" s="1">
        <v>6482</v>
      </c>
      <c r="S26" s="1">
        <v>4074</v>
      </c>
      <c r="T26" s="1">
        <v>9773</v>
      </c>
      <c r="U26" s="1">
        <v>5004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8487</v>
      </c>
      <c r="Q27" s="117">
        <v>4847</v>
      </c>
      <c r="R27" s="117">
        <v>6859</v>
      </c>
      <c r="S27" s="1">
        <v>4833</v>
      </c>
      <c r="T27" s="1">
        <v>7147</v>
      </c>
      <c r="U27" s="1">
        <v>5882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6048</v>
      </c>
      <c r="Q28" s="117">
        <v>5465</v>
      </c>
      <c r="R28" s="1">
        <v>3873</v>
      </c>
      <c r="S28" s="1">
        <v>5273</v>
      </c>
      <c r="T28" s="1">
        <v>5102</v>
      </c>
      <c r="U28" s="1">
        <v>6266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1320</v>
      </c>
      <c r="Q29" s="117">
        <v>6685</v>
      </c>
      <c r="R29" s="113">
        <v>6457</v>
      </c>
      <c r="S29" s="1">
        <v>5124</v>
      </c>
      <c r="T29" s="1">
        <v>8669</v>
      </c>
      <c r="U29" s="1">
        <v>6603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7453</v>
      </c>
      <c r="Q30" s="117">
        <v>10220</v>
      </c>
      <c r="R30" s="1">
        <v>6521</v>
      </c>
      <c r="S30" s="1">
        <v>6754</v>
      </c>
      <c r="T30" s="1">
        <v>7801</v>
      </c>
      <c r="U30" s="1">
        <v>8710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7073</v>
      </c>
      <c r="Q31" s="117">
        <v>8470</v>
      </c>
      <c r="R31" s="1">
        <v>6708</v>
      </c>
      <c r="S31" s="1">
        <v>7984</v>
      </c>
      <c r="T31" s="1">
        <v>7400</v>
      </c>
      <c r="U31" s="1">
        <v>7310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5547</v>
      </c>
      <c r="Q32" s="117">
        <v>6085</v>
      </c>
      <c r="R32" s="2">
        <v>7784</v>
      </c>
      <c r="S32" s="1">
        <v>12409</v>
      </c>
      <c r="T32" s="1">
        <v>5778</v>
      </c>
      <c r="U32" s="1">
        <v>8505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8478</v>
      </c>
      <c r="Q33" s="117">
        <v>5387</v>
      </c>
      <c r="R33" s="1">
        <v>11054</v>
      </c>
      <c r="S33" s="1">
        <v>6697</v>
      </c>
      <c r="T33" s="1">
        <v>11845</v>
      </c>
      <c r="U33" s="1">
        <v>10344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12687</v>
      </c>
      <c r="Q34" s="117">
        <v>8526</v>
      </c>
      <c r="R34" s="1">
        <v>4315</v>
      </c>
      <c r="S34" s="1">
        <v>6847</v>
      </c>
      <c r="T34" s="1">
        <v>7860</v>
      </c>
      <c r="U34" s="1">
        <v>6070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7216</v>
      </c>
      <c r="Q35" s="95">
        <v>5018</v>
      </c>
      <c r="R35" s="1">
        <v>3983</v>
      </c>
      <c r="S35" s="1">
        <v>5338</v>
      </c>
      <c r="T35" s="1">
        <v>9640</v>
      </c>
      <c r="U35" s="1">
        <v>5635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70947</v>
      </c>
      <c r="Q36" s="96">
        <f>SUM(Q24:Q35)</f>
        <v>78318</v>
      </c>
      <c r="R36" s="126">
        <f t="shared" ref="R36" si="2">SUM(R24:R35)</f>
        <v>78368</v>
      </c>
      <c r="S36" s="126">
        <f>SUM(S24:S35)</f>
        <v>76664</v>
      </c>
      <c r="T36" s="126">
        <f t="shared" ref="T36" si="3">SUM(T24:T35)</f>
        <v>96265</v>
      </c>
      <c r="U36" s="126">
        <f>SUM(U24:U35)</f>
        <v>83435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-1</v>
      </c>
      <c r="R42" s="117">
        <v>0</v>
      </c>
      <c r="S42" s="117">
        <v>-395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-1967</v>
      </c>
      <c r="R43" s="1">
        <v>-3</v>
      </c>
      <c r="S43" s="117">
        <v>-461</v>
      </c>
      <c r="T43" s="1">
        <v>-3403</v>
      </c>
      <c r="U43" s="117">
        <v>-499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-45</v>
      </c>
      <c r="R44" s="117">
        <v>-172</v>
      </c>
      <c r="S44" s="1">
        <v>-1631</v>
      </c>
      <c r="T44" s="1">
        <v>-16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-702</v>
      </c>
      <c r="S45" s="117">
        <v>-65</v>
      </c>
      <c r="T45" s="1">
        <v>0</v>
      </c>
      <c r="U45" s="117">
        <v>-93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-627</v>
      </c>
      <c r="S46" s="117">
        <v>0</v>
      </c>
      <c r="T46" s="1">
        <v>-35</v>
      </c>
      <c r="U46" s="117">
        <v>-61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-5</v>
      </c>
      <c r="R47" s="117">
        <v>-141</v>
      </c>
      <c r="S47" s="117">
        <v>-487</v>
      </c>
      <c r="T47" s="1">
        <v>-571</v>
      </c>
      <c r="U47" s="117">
        <v>-185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-989</v>
      </c>
      <c r="Q48" s="117">
        <v>-5</v>
      </c>
      <c r="R48" s="117">
        <v>-230</v>
      </c>
      <c r="S48" s="117">
        <v>0</v>
      </c>
      <c r="T48" s="1">
        <v>-201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-18914</v>
      </c>
      <c r="Q49" s="117">
        <v>0</v>
      </c>
      <c r="R49" s="1">
        <v>-1417</v>
      </c>
      <c r="S49" s="117">
        <v>0</v>
      </c>
      <c r="T49" s="1">
        <v>0</v>
      </c>
      <c r="U49" s="1">
        <v>-1040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-699</v>
      </c>
      <c r="S50" s="1">
        <v>-4326</v>
      </c>
      <c r="T50" s="1">
        <v>-14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">
        <v>-2360</v>
      </c>
      <c r="S51" s="117">
        <v>0</v>
      </c>
      <c r="T51" s="1">
        <v>-312</v>
      </c>
      <c r="U51" s="117">
        <v>-49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-3</v>
      </c>
      <c r="R52" s="1">
        <v>-774</v>
      </c>
      <c r="S52" s="117">
        <v>-5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">
        <v>-1916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-19903</v>
      </c>
      <c r="Q54" s="96">
        <f>SUM(Q42:Q53)</f>
        <v>-2026</v>
      </c>
      <c r="R54" s="126">
        <f t="shared" ref="R54" si="4">SUM(R42:R53)</f>
        <v>-9041</v>
      </c>
      <c r="S54" s="126">
        <f>SUM(S42:S53)</f>
        <v>-7370</v>
      </c>
      <c r="T54" s="126">
        <f t="shared" ref="T54" si="5">SUM(T42:T53)</f>
        <v>-4552</v>
      </c>
      <c r="U54" s="126">
        <f>SUM(U42:U53)</f>
        <v>-1927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325</v>
      </c>
    </row>
    <row r="2" spans="1:21" x14ac:dyDescent="0.2">
      <c r="A2" s="24" t="s">
        <v>84</v>
      </c>
      <c r="B2" s="6">
        <v>2.5000000000000001E-3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346</v>
      </c>
      <c r="Q5" s="117">
        <v>547964</v>
      </c>
      <c r="R5" s="1">
        <v>585106</v>
      </c>
      <c r="S5" s="1">
        <v>597917</v>
      </c>
      <c r="T5" s="1">
        <v>656744</v>
      </c>
      <c r="U5" s="1">
        <v>710057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362478</v>
      </c>
      <c r="Q6" s="117">
        <v>441928</v>
      </c>
      <c r="R6" s="1">
        <v>457847</v>
      </c>
      <c r="S6" s="1">
        <v>483164</v>
      </c>
      <c r="T6" s="1">
        <v>585390</v>
      </c>
      <c r="U6" s="1">
        <v>551748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371170</v>
      </c>
      <c r="Q7" s="117">
        <v>405162</v>
      </c>
      <c r="R7" s="1">
        <v>427931</v>
      </c>
      <c r="S7" s="1">
        <v>466937</v>
      </c>
      <c r="T7" s="1">
        <v>538763</v>
      </c>
      <c r="U7" s="1">
        <v>526655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444049</v>
      </c>
      <c r="Q8" s="117">
        <v>477960</v>
      </c>
      <c r="R8" s="1">
        <v>450815</v>
      </c>
      <c r="S8" s="1">
        <v>604395</v>
      </c>
      <c r="T8" s="1">
        <v>667823</v>
      </c>
      <c r="U8" s="1">
        <v>642037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444084</v>
      </c>
      <c r="Q9" s="117">
        <v>494103</v>
      </c>
      <c r="R9" s="1">
        <v>454629</v>
      </c>
      <c r="S9" s="1">
        <v>596753</v>
      </c>
      <c r="T9" s="1">
        <v>611620</v>
      </c>
      <c r="U9" s="1">
        <v>634021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530925</v>
      </c>
      <c r="Q10" s="117">
        <v>557983</v>
      </c>
      <c r="R10" s="1">
        <v>524838</v>
      </c>
      <c r="S10" s="1">
        <v>638160</v>
      </c>
      <c r="T10" s="1">
        <v>746837</v>
      </c>
      <c r="U10" s="1">
        <v>760019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469851</v>
      </c>
      <c r="Q11" s="117">
        <v>491730</v>
      </c>
      <c r="R11" s="1">
        <v>541564</v>
      </c>
      <c r="S11" s="1">
        <v>627644</v>
      </c>
      <c r="T11" s="1">
        <v>708959</v>
      </c>
      <c r="U11" s="1">
        <v>816802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579011</v>
      </c>
      <c r="Q12" s="117">
        <v>588630</v>
      </c>
      <c r="R12" s="1">
        <v>602273</v>
      </c>
      <c r="S12" s="1">
        <v>666136</v>
      </c>
      <c r="T12" s="1">
        <v>688775</v>
      </c>
      <c r="U12" s="1">
        <v>717129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522701</v>
      </c>
      <c r="Q13" s="117">
        <v>550716</v>
      </c>
      <c r="R13" s="2">
        <v>551229</v>
      </c>
      <c r="S13" s="1">
        <v>625707</v>
      </c>
      <c r="T13" s="1">
        <v>729654</v>
      </c>
      <c r="U13" s="1">
        <v>771211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470835</v>
      </c>
      <c r="Q14" s="117">
        <v>532470</v>
      </c>
      <c r="R14" s="1">
        <v>546008</v>
      </c>
      <c r="S14" s="1">
        <v>620740</v>
      </c>
      <c r="T14" s="1">
        <v>701705</v>
      </c>
      <c r="U14" s="1">
        <v>740223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514357</v>
      </c>
      <c r="Q15" s="117">
        <v>521949</v>
      </c>
      <c r="R15" s="1">
        <v>517262</v>
      </c>
      <c r="S15" s="1">
        <v>601513</v>
      </c>
      <c r="T15" s="1">
        <v>677800</v>
      </c>
      <c r="U15" s="1">
        <v>687704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505642</v>
      </c>
      <c r="Q16" s="95">
        <v>501318</v>
      </c>
      <c r="R16" s="1">
        <v>528417</v>
      </c>
      <c r="S16" s="1">
        <v>581577</v>
      </c>
      <c r="T16" s="1">
        <v>703622</v>
      </c>
      <c r="U16" s="1">
        <v>686187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5215449</v>
      </c>
      <c r="Q17" s="96">
        <f>SUM(Q5:Q16)</f>
        <v>6111913</v>
      </c>
      <c r="R17" s="126">
        <f t="shared" ref="R17" si="0">SUM(R5:R16)</f>
        <v>6187919</v>
      </c>
      <c r="S17" s="126">
        <f>SUM(S5:S16)</f>
        <v>7110643</v>
      </c>
      <c r="T17" s="126">
        <f t="shared" ref="T17" si="1">SUM(T5:T16)</f>
        <v>8017692</v>
      </c>
      <c r="U17" s="126">
        <f>SUM(U5:U16)</f>
        <v>8243793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2.5000000000000001E-3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186</v>
      </c>
      <c r="Q24" s="117">
        <v>39464</v>
      </c>
      <c r="R24" s="1">
        <v>33335</v>
      </c>
      <c r="S24" s="1">
        <v>32876</v>
      </c>
      <c r="T24" s="1">
        <v>10662</v>
      </c>
      <c r="U24" s="1">
        <v>40903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25300</v>
      </c>
      <c r="Q25" s="117">
        <v>23552</v>
      </c>
      <c r="R25" s="1">
        <v>27486</v>
      </c>
      <c r="S25" s="1">
        <v>23133</v>
      </c>
      <c r="T25" s="1">
        <v>30978</v>
      </c>
      <c r="U25" s="1">
        <v>36396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23225</v>
      </c>
      <c r="Q26" s="117">
        <v>23369</v>
      </c>
      <c r="R26" s="1">
        <v>41676</v>
      </c>
      <c r="S26" s="1">
        <v>25271</v>
      </c>
      <c r="T26" s="1">
        <v>33242</v>
      </c>
      <c r="U26" s="1">
        <v>31401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29593</v>
      </c>
      <c r="Q27" s="117">
        <v>28062</v>
      </c>
      <c r="R27" s="1">
        <v>32769</v>
      </c>
      <c r="S27" s="1">
        <v>38411</v>
      </c>
      <c r="T27" s="1">
        <v>73355</v>
      </c>
      <c r="U27" s="1">
        <v>44701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30217</v>
      </c>
      <c r="Q28" s="117">
        <v>26774</v>
      </c>
      <c r="R28" s="1">
        <v>20638</v>
      </c>
      <c r="S28" s="1">
        <v>27549</v>
      </c>
      <c r="T28" s="1">
        <v>38496</v>
      </c>
      <c r="U28" s="1">
        <v>36535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31995</v>
      </c>
      <c r="Q29" s="117">
        <v>30874</v>
      </c>
      <c r="R29" s="1">
        <v>23577</v>
      </c>
      <c r="S29" s="1">
        <v>33844</v>
      </c>
      <c r="T29" s="1">
        <v>44600</v>
      </c>
      <c r="U29" s="1">
        <v>40424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28381</v>
      </c>
      <c r="Q30" s="117">
        <v>30042</v>
      </c>
      <c r="R30" s="1">
        <v>25537</v>
      </c>
      <c r="S30" s="1">
        <v>44380</v>
      </c>
      <c r="T30" s="1">
        <v>50854</v>
      </c>
      <c r="U30" s="1">
        <v>53920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35796</v>
      </c>
      <c r="Q31" s="117">
        <v>41095</v>
      </c>
      <c r="R31" s="1">
        <v>33521</v>
      </c>
      <c r="S31" s="1">
        <v>48139</v>
      </c>
      <c r="T31" s="1">
        <v>46361</v>
      </c>
      <c r="U31" s="1">
        <v>54959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30155</v>
      </c>
      <c r="Q32" s="117">
        <v>40543</v>
      </c>
      <c r="R32" s="2">
        <v>63296</v>
      </c>
      <c r="S32" s="1">
        <v>27332</v>
      </c>
      <c r="T32" s="1">
        <v>53800</v>
      </c>
      <c r="U32" s="1">
        <v>50927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34368</v>
      </c>
      <c r="Q33" s="117">
        <v>38163</v>
      </c>
      <c r="R33" s="1">
        <v>35838</v>
      </c>
      <c r="S33" s="1">
        <v>38360</v>
      </c>
      <c r="T33" s="1">
        <v>49018</v>
      </c>
      <c r="U33" s="1">
        <v>42241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29611</v>
      </c>
      <c r="Q34" s="117">
        <v>23064</v>
      </c>
      <c r="R34" s="1">
        <v>29464</v>
      </c>
      <c r="S34" s="1">
        <v>42795</v>
      </c>
      <c r="T34" s="1">
        <v>46844</v>
      </c>
      <c r="U34" s="1">
        <v>44610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31383</v>
      </c>
      <c r="Q35" s="95">
        <v>47405</v>
      </c>
      <c r="R35" s="1">
        <v>23740</v>
      </c>
      <c r="S35" s="1">
        <v>37971</v>
      </c>
      <c r="T35" s="1">
        <v>39724</v>
      </c>
      <c r="U35" s="1">
        <v>47337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330210</v>
      </c>
      <c r="Q36" s="96">
        <f>SUM(Q24:Q35)</f>
        <v>392407</v>
      </c>
      <c r="R36" s="126">
        <f t="shared" ref="R36" si="2">SUM(R24:R35)</f>
        <v>390877</v>
      </c>
      <c r="S36" s="126">
        <f>SUM(S24:S35)</f>
        <v>420061</v>
      </c>
      <c r="T36" s="126">
        <f t="shared" ref="T36" si="3">SUM(T24:T35)</f>
        <v>517934</v>
      </c>
      <c r="U36" s="126">
        <f>SUM(U24:U35)</f>
        <v>524354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-10</v>
      </c>
      <c r="R42" s="1">
        <v>-2845</v>
      </c>
      <c r="S42" s="117">
        <v>-739</v>
      </c>
      <c r="T42" s="1">
        <v>-538</v>
      </c>
      <c r="U42" s="1">
        <v>-2754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-3325</v>
      </c>
      <c r="R43" s="1">
        <v>-599</v>
      </c>
      <c r="S43" s="1">
        <v>-1639</v>
      </c>
      <c r="T43" s="1">
        <v>-102</v>
      </c>
      <c r="U43" s="1">
        <v>-1919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-635</v>
      </c>
      <c r="R44" s="1">
        <v>-586</v>
      </c>
      <c r="S44" s="1">
        <v>-7085</v>
      </c>
      <c r="T44" s="1">
        <v>-679</v>
      </c>
      <c r="U44" s="1">
        <v>-5047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-1275</v>
      </c>
      <c r="R45" s="1">
        <v>-2566</v>
      </c>
      <c r="S45" s="117">
        <v>-429</v>
      </c>
      <c r="T45" s="1">
        <v>-53</v>
      </c>
      <c r="U45" s="117">
        <v>-387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-736</v>
      </c>
      <c r="R46" s="1">
        <v>-2871</v>
      </c>
      <c r="S46" s="117">
        <v>-714</v>
      </c>
      <c r="T46" s="1">
        <v>-926</v>
      </c>
      <c r="U46" s="117">
        <v>-56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-6</v>
      </c>
      <c r="Q47" s="117">
        <v>-209</v>
      </c>
      <c r="R47" s="1">
        <v>-1132</v>
      </c>
      <c r="S47" s="117">
        <v>-902</v>
      </c>
      <c r="T47" s="1">
        <v>-570</v>
      </c>
      <c r="U47" s="117">
        <v>-289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-60</v>
      </c>
      <c r="Q48" s="117">
        <v>-463</v>
      </c>
      <c r="R48" s="1">
        <v>-1013</v>
      </c>
      <c r="S48" s="117">
        <v>-166</v>
      </c>
      <c r="T48" s="1">
        <v>-181</v>
      </c>
      <c r="U48" s="1">
        <v>-5539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-178</v>
      </c>
      <c r="Q49" s="117">
        <v>-94</v>
      </c>
      <c r="R49" s="1">
        <v>-2473</v>
      </c>
      <c r="S49" s="117">
        <v>-789</v>
      </c>
      <c r="T49" s="1">
        <v>-1</v>
      </c>
      <c r="U49" s="1">
        <v>-5611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-407</v>
      </c>
      <c r="R50" s="117">
        <v>-108</v>
      </c>
      <c r="S50" s="117">
        <v>-347</v>
      </c>
      <c r="T50" s="1">
        <v>-96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-2</v>
      </c>
      <c r="Q51" s="117">
        <v>-159</v>
      </c>
      <c r="R51" s="1">
        <v>-1770</v>
      </c>
      <c r="S51" s="1">
        <v>-2044</v>
      </c>
      <c r="T51" s="1">
        <v>-19</v>
      </c>
      <c r="U51" s="1">
        <v>-6946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-30</v>
      </c>
      <c r="Q52" s="117">
        <v>-122</v>
      </c>
      <c r="R52" s="117">
        <v>0</v>
      </c>
      <c r="S52" s="117">
        <v>-114</v>
      </c>
      <c r="T52" s="1">
        <v>-1815</v>
      </c>
      <c r="U52" s="117">
        <v>-1111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>
        <v>-1</v>
      </c>
      <c r="Q53" s="95">
        <v>-122</v>
      </c>
      <c r="R53" s="95">
        <v>-1</v>
      </c>
      <c r="S53" s="1">
        <v>-1011</v>
      </c>
      <c r="T53" s="1">
        <v>-462</v>
      </c>
      <c r="U53" s="1">
        <v>-1513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-277</v>
      </c>
      <c r="Q54" s="96">
        <f>SUM(Q42:Q53)</f>
        <v>-7557</v>
      </c>
      <c r="R54" s="126">
        <f t="shared" ref="R54" si="4">SUM(R42:R53)</f>
        <v>-15964</v>
      </c>
      <c r="S54" s="126">
        <f>SUM(S42:S53)</f>
        <v>-15979</v>
      </c>
      <c r="T54" s="126">
        <f t="shared" ref="T54" si="5">SUM(T42:T53)</f>
        <v>-5442</v>
      </c>
      <c r="U54" s="126">
        <f>SUM(U42:U53)</f>
        <v>-31172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326</v>
      </c>
    </row>
    <row r="2" spans="1:21" x14ac:dyDescent="0.2">
      <c r="A2" s="24" t="s">
        <v>84</v>
      </c>
      <c r="B2" s="6">
        <v>5.0000000000000001E-3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72</v>
      </c>
      <c r="Q5" s="117">
        <v>122099</v>
      </c>
      <c r="R5" s="1">
        <v>159989</v>
      </c>
      <c r="S5" s="1">
        <v>172435</v>
      </c>
      <c r="T5" s="1">
        <v>203534</v>
      </c>
      <c r="U5" s="1">
        <v>206697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65641</v>
      </c>
      <c r="Q6" s="117">
        <v>111721</v>
      </c>
      <c r="R6" s="1">
        <v>145112</v>
      </c>
      <c r="S6" s="1">
        <v>142764</v>
      </c>
      <c r="T6" s="1">
        <v>182704</v>
      </c>
      <c r="U6" s="1">
        <v>166651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74166</v>
      </c>
      <c r="Q7" s="117">
        <v>100721</v>
      </c>
      <c r="R7" s="1">
        <v>108866</v>
      </c>
      <c r="S7" s="1">
        <v>154593</v>
      </c>
      <c r="T7" s="1">
        <v>143102</v>
      </c>
      <c r="U7" s="1">
        <v>152065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92101</v>
      </c>
      <c r="Q8" s="117">
        <v>119977</v>
      </c>
      <c r="R8" s="1">
        <v>147381</v>
      </c>
      <c r="S8" s="1">
        <v>210448</v>
      </c>
      <c r="T8" s="1">
        <v>181090</v>
      </c>
      <c r="U8" s="1">
        <v>206724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97083</v>
      </c>
      <c r="Q9" s="117">
        <v>154164</v>
      </c>
      <c r="R9" s="1">
        <v>137543</v>
      </c>
      <c r="S9" s="1">
        <v>176094</v>
      </c>
      <c r="T9" s="1">
        <v>183839</v>
      </c>
      <c r="U9" s="1">
        <v>172545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126417</v>
      </c>
      <c r="Q10" s="117">
        <v>148925</v>
      </c>
      <c r="R10" s="1">
        <v>170611</v>
      </c>
      <c r="S10" s="1">
        <v>194886</v>
      </c>
      <c r="T10" s="1">
        <v>225782</v>
      </c>
      <c r="U10" s="1">
        <v>228577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128792</v>
      </c>
      <c r="Q11" s="117">
        <v>149307</v>
      </c>
      <c r="R11" s="1">
        <v>205762</v>
      </c>
      <c r="S11" s="1">
        <v>220039</v>
      </c>
      <c r="T11" s="1">
        <v>228058</v>
      </c>
      <c r="U11" s="1">
        <v>252907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139388</v>
      </c>
      <c r="Q12" s="117">
        <v>181147</v>
      </c>
      <c r="R12" s="1">
        <v>225744</v>
      </c>
      <c r="S12" s="1">
        <v>217552</v>
      </c>
      <c r="T12" s="1">
        <v>224817</v>
      </c>
      <c r="U12" s="1">
        <v>230786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133394</v>
      </c>
      <c r="Q13" s="117">
        <v>167043</v>
      </c>
      <c r="R13" s="2">
        <v>170754</v>
      </c>
      <c r="S13" s="1">
        <v>187494</v>
      </c>
      <c r="T13" s="1">
        <v>219144</v>
      </c>
      <c r="U13" s="1">
        <v>225217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119238</v>
      </c>
      <c r="Q14" s="117">
        <v>162287</v>
      </c>
      <c r="R14" s="1">
        <v>174589</v>
      </c>
      <c r="S14" s="1">
        <v>199694</v>
      </c>
      <c r="T14" s="1">
        <v>231392</v>
      </c>
      <c r="U14" s="1">
        <v>234695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117129</v>
      </c>
      <c r="Q15" s="117">
        <v>147911</v>
      </c>
      <c r="R15" s="1">
        <v>153659</v>
      </c>
      <c r="S15" s="1">
        <v>182609</v>
      </c>
      <c r="T15" s="1">
        <v>232996</v>
      </c>
      <c r="U15" s="1">
        <v>223148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113782</v>
      </c>
      <c r="Q16" s="95">
        <v>123828</v>
      </c>
      <c r="R16" s="1">
        <v>152878</v>
      </c>
      <c r="S16" s="1">
        <v>171733</v>
      </c>
      <c r="T16" s="1">
        <v>189862</v>
      </c>
      <c r="U16" s="1">
        <v>205421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1207203</v>
      </c>
      <c r="Q17" s="96">
        <f>SUM(Q5:Q16)</f>
        <v>1689130</v>
      </c>
      <c r="R17" s="126">
        <f t="shared" ref="R17" si="0">SUM(R5:R16)</f>
        <v>1952888</v>
      </c>
      <c r="S17" s="126">
        <f>SUM(S5:S16)</f>
        <v>2230341</v>
      </c>
      <c r="T17" s="126">
        <f t="shared" ref="T17" si="1">SUM(T5:T16)</f>
        <v>2446320</v>
      </c>
      <c r="U17" s="126">
        <f>SUM(U5:U16)</f>
        <v>2505433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13418</v>
      </c>
      <c r="R24" s="1">
        <v>9308</v>
      </c>
      <c r="S24" s="1">
        <v>8926</v>
      </c>
      <c r="T24" s="1">
        <v>2459</v>
      </c>
      <c r="U24" s="1">
        <v>10216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3485</v>
      </c>
      <c r="Q25" s="117">
        <v>9294</v>
      </c>
      <c r="R25" s="1">
        <v>8344</v>
      </c>
      <c r="S25" s="1">
        <v>5066</v>
      </c>
      <c r="T25" s="1">
        <v>17651</v>
      </c>
      <c r="U25" s="1">
        <v>11693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5768</v>
      </c>
      <c r="Q26" s="117">
        <v>9881</v>
      </c>
      <c r="R26" s="1">
        <v>6862</v>
      </c>
      <c r="S26" s="1">
        <v>8677</v>
      </c>
      <c r="T26" s="1">
        <v>8003</v>
      </c>
      <c r="U26" s="1">
        <v>5953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7379</v>
      </c>
      <c r="Q27" s="117">
        <v>7444</v>
      </c>
      <c r="R27" s="117">
        <v>5429</v>
      </c>
      <c r="S27" s="1">
        <v>7024</v>
      </c>
      <c r="T27" s="1">
        <v>13875</v>
      </c>
      <c r="U27" s="1">
        <v>13832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5663</v>
      </c>
      <c r="Q28" s="117">
        <v>7104</v>
      </c>
      <c r="R28" s="1">
        <v>6934</v>
      </c>
      <c r="S28" s="1">
        <v>7544</v>
      </c>
      <c r="T28" s="1">
        <v>9446</v>
      </c>
      <c r="U28" s="1">
        <v>9228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9869</v>
      </c>
      <c r="Q29" s="117">
        <v>6030</v>
      </c>
      <c r="R29" s="1">
        <v>6303</v>
      </c>
      <c r="S29" s="1">
        <v>8155</v>
      </c>
      <c r="T29" s="1">
        <v>11479</v>
      </c>
      <c r="U29" s="1">
        <v>10334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7364</v>
      </c>
      <c r="Q30" s="117">
        <v>11316</v>
      </c>
      <c r="R30" s="1">
        <v>13648</v>
      </c>
      <c r="S30" s="1">
        <v>32804</v>
      </c>
      <c r="T30" s="1">
        <v>16154</v>
      </c>
      <c r="U30" s="1">
        <v>13328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11768</v>
      </c>
      <c r="Q31" s="117">
        <v>15800</v>
      </c>
      <c r="R31" s="1">
        <v>6851</v>
      </c>
      <c r="S31" s="1">
        <v>8363</v>
      </c>
      <c r="T31" s="1">
        <v>12156</v>
      </c>
      <c r="U31" s="1">
        <v>13251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8353</v>
      </c>
      <c r="Q32" s="117">
        <v>20055</v>
      </c>
      <c r="R32" s="2">
        <v>15948</v>
      </c>
      <c r="S32" s="1">
        <v>11055</v>
      </c>
      <c r="T32" s="1">
        <v>15422</v>
      </c>
      <c r="U32" s="1">
        <v>8831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7688</v>
      </c>
      <c r="Q33" s="117">
        <v>10950</v>
      </c>
      <c r="R33" s="1">
        <v>9895</v>
      </c>
      <c r="S33" s="1">
        <v>12962</v>
      </c>
      <c r="T33" s="1">
        <v>9206</v>
      </c>
      <c r="U33" s="1">
        <v>8899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7176</v>
      </c>
      <c r="Q34" s="117">
        <v>8984</v>
      </c>
      <c r="R34" s="1">
        <v>1828</v>
      </c>
      <c r="S34" s="1">
        <v>10164</v>
      </c>
      <c r="T34" s="1">
        <v>11691</v>
      </c>
      <c r="U34" s="1">
        <v>7875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9271</v>
      </c>
      <c r="Q35" s="95">
        <v>8329</v>
      </c>
      <c r="R35" s="1">
        <v>5215</v>
      </c>
      <c r="S35" s="1">
        <v>13356</v>
      </c>
      <c r="T35" s="1">
        <v>6001</v>
      </c>
      <c r="U35" s="1">
        <v>9523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83784</v>
      </c>
      <c r="Q36" s="96">
        <f>SUM(Q24:Q35)</f>
        <v>128605</v>
      </c>
      <c r="R36" s="126">
        <f t="shared" ref="R36" si="2">SUM(R24:R35)</f>
        <v>96565</v>
      </c>
      <c r="S36" s="126">
        <f>SUM(S24:S35)</f>
        <v>134096</v>
      </c>
      <c r="T36" s="126">
        <f t="shared" ref="T36" si="3">SUM(T24:T35)</f>
        <v>133543</v>
      </c>
      <c r="U36" s="126">
        <f>SUM(U24:U35)</f>
        <v>122963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-65</v>
      </c>
      <c r="S42" s="117">
        <v>-248</v>
      </c>
      <c r="T42" s="1">
        <v>-416</v>
      </c>
      <c r="U42" s="1">
        <v>-479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">
        <v>-13</v>
      </c>
      <c r="S43" s="117">
        <v>0</v>
      </c>
      <c r="T43" s="1">
        <v>-74</v>
      </c>
      <c r="U43" s="117">
        <v>-88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">
        <v>-9</v>
      </c>
      <c r="S44" s="117">
        <v>-88</v>
      </c>
      <c r="T44" s="1">
        <v>-5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-11</v>
      </c>
      <c r="S45" s="117">
        <v>0</v>
      </c>
      <c r="T45" s="1">
        <v>-335</v>
      </c>
      <c r="U45" s="117">
        <v>-3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-4</v>
      </c>
      <c r="Q46" s="117">
        <v>-117</v>
      </c>
      <c r="R46" s="1">
        <v>-117</v>
      </c>
      <c r="S46" s="117">
        <v>0</v>
      </c>
      <c r="T46" s="1">
        <v>-36</v>
      </c>
      <c r="U46" s="117">
        <v>-46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-206</v>
      </c>
      <c r="R47" s="117">
        <v>0</v>
      </c>
      <c r="S47" s="117">
        <v>-27</v>
      </c>
      <c r="T47" s="1">
        <v>-1059</v>
      </c>
      <c r="U47" s="117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-68</v>
      </c>
      <c r="R48" s="117">
        <v>0</v>
      </c>
      <c r="S48" s="117">
        <v>-77</v>
      </c>
      <c r="T48" s="1">
        <v>-1527</v>
      </c>
      <c r="U48" s="117">
        <v>-15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17">
        <v>0</v>
      </c>
      <c r="S49" s="117">
        <v>0</v>
      </c>
      <c r="T49" s="1">
        <v>-1</v>
      </c>
      <c r="U49" s="117">
        <v>-48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-8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17">
        <v>-15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17">
        <v>0</v>
      </c>
      <c r="S52" s="117">
        <v>0</v>
      </c>
      <c r="T52" s="1">
        <v>-28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>
        <v>-14</v>
      </c>
      <c r="Q53" s="95">
        <v>-9</v>
      </c>
      <c r="R53" s="1">
        <v>-7535</v>
      </c>
      <c r="S53" s="162">
        <v>-462</v>
      </c>
      <c r="T53" s="1">
        <v>0</v>
      </c>
      <c r="U53" s="162">
        <v>-775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-18</v>
      </c>
      <c r="Q54" s="96">
        <f>SUM(Q42:Q53)</f>
        <v>-400</v>
      </c>
      <c r="R54" s="126">
        <f t="shared" ref="R54" si="4">SUM(R42:R53)</f>
        <v>-7773</v>
      </c>
      <c r="S54" s="126">
        <f>SUM(S42:S53)</f>
        <v>-902</v>
      </c>
      <c r="T54" s="126">
        <f t="shared" ref="T54" si="5">SUM(T42:T53)</f>
        <v>-3481</v>
      </c>
      <c r="U54" s="126">
        <f>SUM(U42:U53)</f>
        <v>-1454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2:U54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6.5703125" bestFit="1" customWidth="1"/>
    <col min="2" max="8" width="10.7109375" bestFit="1" customWidth="1"/>
    <col min="9" max="11" width="10.140625" bestFit="1" customWidth="1"/>
    <col min="12" max="21" width="10.7109375" bestFit="1" customWidth="1"/>
  </cols>
  <sheetData>
    <row r="2" spans="1:21" x14ac:dyDescent="0.2">
      <c r="A2" s="24" t="s">
        <v>30</v>
      </c>
      <c r="B2" s="147">
        <v>0.01</v>
      </c>
      <c r="C2" s="94" t="s">
        <v>189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>
        <v>89514.99</v>
      </c>
      <c r="C5" s="1">
        <v>100721</v>
      </c>
      <c r="D5" s="2">
        <v>104768</v>
      </c>
      <c r="E5" s="2">
        <v>110415.97</v>
      </c>
      <c r="F5" s="2">
        <v>102873.67</v>
      </c>
      <c r="G5" s="2">
        <v>91403</v>
      </c>
      <c r="H5" s="2">
        <v>97965</v>
      </c>
      <c r="I5" s="2">
        <v>101337</v>
      </c>
      <c r="J5" s="2">
        <v>109857</v>
      </c>
      <c r="K5" s="2">
        <v>108112</v>
      </c>
      <c r="L5" s="102">
        <v>185330</v>
      </c>
      <c r="M5" s="117">
        <v>200577</v>
      </c>
      <c r="N5" s="117">
        <v>239494</v>
      </c>
      <c r="O5" s="117">
        <v>271382</v>
      </c>
      <c r="P5" s="117">
        <v>247827</v>
      </c>
      <c r="Q5" s="117">
        <v>258279</v>
      </c>
      <c r="R5" s="1">
        <v>271499</v>
      </c>
      <c r="S5" s="1">
        <v>297574</v>
      </c>
      <c r="T5" s="1">
        <v>301795</v>
      </c>
      <c r="U5" s="1">
        <v>324580</v>
      </c>
    </row>
    <row r="6" spans="1:21" x14ac:dyDescent="0.2">
      <c r="A6" s="26" t="s">
        <v>1</v>
      </c>
      <c r="B6" s="1">
        <v>87277.37</v>
      </c>
      <c r="C6" s="1">
        <v>70042</v>
      </c>
      <c r="D6" s="2">
        <v>74564.08</v>
      </c>
      <c r="E6" s="2">
        <v>78772.5</v>
      </c>
      <c r="F6" s="2">
        <v>117377.28</v>
      </c>
      <c r="G6" s="2">
        <v>84313</v>
      </c>
      <c r="H6" s="2">
        <v>69694</v>
      </c>
      <c r="I6" s="2">
        <v>72373</v>
      </c>
      <c r="J6" s="2">
        <v>77413</v>
      </c>
      <c r="K6" s="2">
        <v>79958</v>
      </c>
      <c r="L6" s="102">
        <v>198653</v>
      </c>
      <c r="M6" s="117">
        <v>179173</v>
      </c>
      <c r="N6" s="117">
        <v>192010</v>
      </c>
      <c r="O6" s="117">
        <v>185799</v>
      </c>
      <c r="P6" s="117">
        <v>188665</v>
      </c>
      <c r="Q6" s="117">
        <v>202779</v>
      </c>
      <c r="R6" s="1">
        <v>212191</v>
      </c>
      <c r="S6" s="1">
        <v>252371</v>
      </c>
      <c r="T6" s="1">
        <v>243308</v>
      </c>
      <c r="U6" s="1">
        <v>262837</v>
      </c>
    </row>
    <row r="7" spans="1:21" x14ac:dyDescent="0.2">
      <c r="A7" s="26" t="s">
        <v>2</v>
      </c>
      <c r="B7" s="1">
        <v>67678.02</v>
      </c>
      <c r="C7" s="1">
        <v>71962.39</v>
      </c>
      <c r="D7" s="2">
        <v>65365.2</v>
      </c>
      <c r="E7" s="2">
        <v>72486</v>
      </c>
      <c r="F7" s="2">
        <v>72055.360000000001</v>
      </c>
      <c r="G7" s="2">
        <v>64562</v>
      </c>
      <c r="H7" s="2">
        <v>69508</v>
      </c>
      <c r="I7" s="2">
        <v>72838</v>
      </c>
      <c r="J7" s="2">
        <v>77337</v>
      </c>
      <c r="K7" s="2">
        <v>76366</v>
      </c>
      <c r="L7" s="106">
        <v>146968</v>
      </c>
      <c r="M7" s="117">
        <v>195583</v>
      </c>
      <c r="N7" s="117">
        <v>180703</v>
      </c>
      <c r="O7" s="117">
        <v>174098</v>
      </c>
      <c r="P7" s="117">
        <v>172167</v>
      </c>
      <c r="Q7" s="117">
        <v>180986</v>
      </c>
      <c r="R7" s="1">
        <v>205156</v>
      </c>
      <c r="S7" s="1">
        <v>225892</v>
      </c>
      <c r="T7" s="1">
        <v>225907</v>
      </c>
      <c r="U7" s="1">
        <v>248993</v>
      </c>
    </row>
    <row r="8" spans="1:21" x14ac:dyDescent="0.2">
      <c r="A8" s="26" t="s">
        <v>3</v>
      </c>
      <c r="B8" s="1">
        <v>76885</v>
      </c>
      <c r="C8" s="1">
        <v>79894</v>
      </c>
      <c r="D8" s="2">
        <v>81271</v>
      </c>
      <c r="E8" s="2">
        <v>88767.93</v>
      </c>
      <c r="F8" s="2">
        <v>79293.31</v>
      </c>
      <c r="G8" s="2">
        <v>84337</v>
      </c>
      <c r="H8" s="2">
        <v>84727</v>
      </c>
      <c r="I8" s="2">
        <v>66328</v>
      </c>
      <c r="J8" s="2">
        <v>92674</v>
      </c>
      <c r="K8" s="2">
        <v>89015</v>
      </c>
      <c r="L8" s="106">
        <v>172932</v>
      </c>
      <c r="M8" s="117">
        <v>198056</v>
      </c>
      <c r="N8" s="117">
        <v>210152</v>
      </c>
      <c r="O8" s="117">
        <v>214026</v>
      </c>
      <c r="P8" s="117">
        <v>219038</v>
      </c>
      <c r="Q8" s="117">
        <v>219932</v>
      </c>
      <c r="R8" s="1">
        <v>225094</v>
      </c>
      <c r="S8" s="1">
        <v>296613</v>
      </c>
      <c r="T8" s="1">
        <v>287464</v>
      </c>
      <c r="U8" s="1">
        <v>298852</v>
      </c>
    </row>
    <row r="9" spans="1:21" x14ac:dyDescent="0.2">
      <c r="A9" s="26" t="s">
        <v>4</v>
      </c>
      <c r="B9" s="1">
        <v>85754.16</v>
      </c>
      <c r="C9" s="1">
        <v>89520</v>
      </c>
      <c r="D9" s="2">
        <v>86781.19</v>
      </c>
      <c r="E9" s="2">
        <v>85734</v>
      </c>
      <c r="F9" s="2">
        <v>82498.210000000006</v>
      </c>
      <c r="G9" s="2">
        <v>84060</v>
      </c>
      <c r="H9" s="2">
        <v>87376</v>
      </c>
      <c r="I9" s="2">
        <v>99084</v>
      </c>
      <c r="J9" s="2">
        <v>92496</v>
      </c>
      <c r="K9" s="2">
        <v>163871</v>
      </c>
      <c r="L9" s="106">
        <v>181398</v>
      </c>
      <c r="M9" s="117">
        <v>197350</v>
      </c>
      <c r="N9" s="117">
        <v>208683</v>
      </c>
      <c r="O9" s="117">
        <v>230447</v>
      </c>
      <c r="P9" s="117">
        <v>215260</v>
      </c>
      <c r="Q9" s="117">
        <v>228003</v>
      </c>
      <c r="R9" s="1">
        <v>234036</v>
      </c>
      <c r="S9" s="1">
        <v>310700</v>
      </c>
      <c r="T9" s="1">
        <v>283211</v>
      </c>
      <c r="U9" s="1">
        <v>431934</v>
      </c>
    </row>
    <row r="10" spans="1:21" x14ac:dyDescent="0.2">
      <c r="A10" s="26" t="s">
        <v>5</v>
      </c>
      <c r="B10" s="1">
        <v>97632</v>
      </c>
      <c r="C10" s="1">
        <v>105550</v>
      </c>
      <c r="D10" s="2">
        <v>100533</v>
      </c>
      <c r="E10" s="2">
        <v>109135.31</v>
      </c>
      <c r="F10" s="2">
        <v>102267.77</v>
      </c>
      <c r="G10" s="2">
        <v>104743</v>
      </c>
      <c r="H10" s="2">
        <v>103150</v>
      </c>
      <c r="I10" s="2">
        <v>104036</v>
      </c>
      <c r="J10" s="2">
        <v>87328</v>
      </c>
      <c r="K10" s="2">
        <v>226420</v>
      </c>
      <c r="L10" s="106">
        <v>231253</v>
      </c>
      <c r="M10" s="117">
        <v>246442</v>
      </c>
      <c r="N10" s="117">
        <v>255985</v>
      </c>
      <c r="O10" s="117">
        <v>270133</v>
      </c>
      <c r="P10" s="117">
        <v>287632</v>
      </c>
      <c r="Q10" s="117">
        <v>281623</v>
      </c>
      <c r="R10" s="1">
        <v>326272</v>
      </c>
      <c r="S10" s="1">
        <v>361135</v>
      </c>
      <c r="T10" s="1">
        <v>424220</v>
      </c>
      <c r="U10" s="1">
        <v>577675</v>
      </c>
    </row>
    <row r="11" spans="1:21" x14ac:dyDescent="0.2">
      <c r="A11" s="26" t="s">
        <v>6</v>
      </c>
      <c r="B11" s="1">
        <v>71828.95</v>
      </c>
      <c r="C11" s="1">
        <v>65823.17</v>
      </c>
      <c r="D11" s="2">
        <v>91194</v>
      </c>
      <c r="E11" s="2">
        <f>100350-5</f>
        <v>100345</v>
      </c>
      <c r="F11" s="2">
        <v>87247.05</v>
      </c>
      <c r="G11" s="2">
        <v>77414</v>
      </c>
      <c r="H11" s="2">
        <v>99589</v>
      </c>
      <c r="I11" s="2">
        <v>104518</v>
      </c>
      <c r="J11" s="2">
        <v>119665</v>
      </c>
      <c r="K11" s="2">
        <v>180441</v>
      </c>
      <c r="L11" s="106">
        <v>236295</v>
      </c>
      <c r="M11" s="117">
        <v>195829</v>
      </c>
      <c r="N11" s="117">
        <v>201743</v>
      </c>
      <c r="O11" s="117">
        <v>228462</v>
      </c>
      <c r="P11" s="117">
        <v>227193</v>
      </c>
      <c r="Q11" s="117">
        <v>290751</v>
      </c>
      <c r="R11" s="1">
        <v>209636</v>
      </c>
      <c r="S11" s="1">
        <v>336094</v>
      </c>
      <c r="T11" s="1">
        <v>375479</v>
      </c>
      <c r="U11" s="1">
        <v>603519</v>
      </c>
    </row>
    <row r="12" spans="1:21" x14ac:dyDescent="0.2">
      <c r="A12" s="26" t="s">
        <v>7</v>
      </c>
      <c r="B12" s="1">
        <v>125735.92</v>
      </c>
      <c r="C12" s="1">
        <v>133257.09</v>
      </c>
      <c r="D12" s="2">
        <v>113687.82</v>
      </c>
      <c r="E12" s="2">
        <v>113566.64</v>
      </c>
      <c r="F12" s="2">
        <v>94283.23</v>
      </c>
      <c r="G12" s="2">
        <v>126971</v>
      </c>
      <c r="H12" s="2">
        <v>108812</v>
      </c>
      <c r="I12" s="2">
        <v>106241</v>
      </c>
      <c r="J12" s="2">
        <v>132140</v>
      </c>
      <c r="K12" s="2">
        <v>278465</v>
      </c>
      <c r="L12" s="106">
        <v>244451</v>
      </c>
      <c r="M12" s="117">
        <v>312843</v>
      </c>
      <c r="N12" s="117">
        <v>317466</v>
      </c>
      <c r="O12" s="117">
        <v>318587</v>
      </c>
      <c r="P12" s="117">
        <v>327823</v>
      </c>
      <c r="Q12" s="117">
        <v>291099</v>
      </c>
      <c r="R12" s="1">
        <v>425907</v>
      </c>
      <c r="S12" s="1">
        <v>340101</v>
      </c>
      <c r="T12" s="1">
        <v>341869</v>
      </c>
      <c r="U12" s="1">
        <v>539254</v>
      </c>
    </row>
    <row r="13" spans="1:21" x14ac:dyDescent="0.2">
      <c r="A13" s="26" t="s">
        <v>8</v>
      </c>
      <c r="B13" s="1">
        <v>104256</v>
      </c>
      <c r="C13" s="1">
        <v>101201.8</v>
      </c>
      <c r="D13" s="2">
        <v>105124.21</v>
      </c>
      <c r="E13" s="2">
        <v>104586.75</v>
      </c>
      <c r="F13" s="2">
        <v>79197.08</v>
      </c>
      <c r="G13" s="2">
        <v>78990</v>
      </c>
      <c r="H13" s="2">
        <v>100443</v>
      </c>
      <c r="I13" s="2">
        <v>100894</v>
      </c>
      <c r="J13" s="2">
        <v>108943</v>
      </c>
      <c r="K13" s="2">
        <v>233612</v>
      </c>
      <c r="L13" s="106">
        <v>235635</v>
      </c>
      <c r="M13" s="117">
        <v>245076</v>
      </c>
      <c r="N13" s="117">
        <v>269249</v>
      </c>
      <c r="O13" s="117">
        <v>276060</v>
      </c>
      <c r="P13" s="117">
        <v>269836</v>
      </c>
      <c r="Q13" s="117">
        <v>296522</v>
      </c>
      <c r="R13" s="2">
        <v>294080</v>
      </c>
      <c r="S13" s="1">
        <v>326121</v>
      </c>
      <c r="T13" s="1">
        <v>354738</v>
      </c>
      <c r="U13" s="1">
        <v>542513</v>
      </c>
    </row>
    <row r="14" spans="1:21" x14ac:dyDescent="0.2">
      <c r="A14" s="26" t="s">
        <v>9</v>
      </c>
      <c r="B14" s="1">
        <v>92348.5</v>
      </c>
      <c r="C14" s="1">
        <v>104085</v>
      </c>
      <c r="D14" s="2">
        <v>103622.5</v>
      </c>
      <c r="E14" s="2">
        <v>97929.22</v>
      </c>
      <c r="F14" s="2">
        <f>82872.37+349.09</f>
        <v>83221.459999999992</v>
      </c>
      <c r="G14" s="2">
        <v>117732</v>
      </c>
      <c r="H14" s="2">
        <v>99087</v>
      </c>
      <c r="I14" s="2">
        <v>102868</v>
      </c>
      <c r="J14" s="2">
        <v>102557</v>
      </c>
      <c r="K14" s="2">
        <v>208124</v>
      </c>
      <c r="L14" s="106">
        <v>213583</v>
      </c>
      <c r="M14" s="117">
        <v>240017</v>
      </c>
      <c r="N14" s="117">
        <v>259734</v>
      </c>
      <c r="O14" s="117">
        <v>241939</v>
      </c>
      <c r="P14" s="117">
        <v>255238</v>
      </c>
      <c r="Q14" s="117">
        <v>268030</v>
      </c>
      <c r="R14" s="1">
        <v>297220</v>
      </c>
      <c r="S14" s="1">
        <v>318517</v>
      </c>
      <c r="T14" s="1">
        <v>335605</v>
      </c>
      <c r="U14" s="1">
        <v>511682</v>
      </c>
    </row>
    <row r="15" spans="1:21" x14ac:dyDescent="0.2">
      <c r="A15" s="26" t="s">
        <v>10</v>
      </c>
      <c r="B15" s="1">
        <v>93154.93</v>
      </c>
      <c r="C15" s="1">
        <v>96565</v>
      </c>
      <c r="D15" s="2">
        <v>94754</v>
      </c>
      <c r="E15" s="2">
        <v>95808.43</v>
      </c>
      <c r="F15" s="2"/>
      <c r="G15" s="2">
        <v>90974</v>
      </c>
      <c r="H15" s="2">
        <v>97516</v>
      </c>
      <c r="I15" s="2">
        <v>106450</v>
      </c>
      <c r="J15" s="2">
        <v>100214</v>
      </c>
      <c r="K15" s="2">
        <v>210517</v>
      </c>
      <c r="L15" s="106">
        <v>224797</v>
      </c>
      <c r="M15" s="117">
        <v>241682</v>
      </c>
      <c r="N15" s="117">
        <v>254276</v>
      </c>
      <c r="O15" s="117">
        <v>242205</v>
      </c>
      <c r="P15" s="117">
        <v>258076</v>
      </c>
      <c r="Q15" s="117">
        <v>276087</v>
      </c>
      <c r="R15" s="1">
        <v>305193</v>
      </c>
      <c r="S15" s="1">
        <v>317327</v>
      </c>
      <c r="T15" s="1">
        <v>360982</v>
      </c>
      <c r="U15" s="1">
        <v>512613</v>
      </c>
    </row>
    <row r="16" spans="1:21" x14ac:dyDescent="0.2">
      <c r="A16" s="26" t="s">
        <v>11</v>
      </c>
      <c r="B16" s="39">
        <v>86343.56</v>
      </c>
      <c r="C16" s="39">
        <v>90035</v>
      </c>
      <c r="D16" s="39">
        <v>92109</v>
      </c>
      <c r="E16" s="39">
        <v>96530</v>
      </c>
      <c r="F16" s="39">
        <v>137664</v>
      </c>
      <c r="G16" s="40">
        <v>88347</v>
      </c>
      <c r="H16" s="40">
        <v>90464</v>
      </c>
      <c r="I16" s="40">
        <v>95824</v>
      </c>
      <c r="J16" s="40">
        <v>100268</v>
      </c>
      <c r="K16" s="40">
        <v>198507</v>
      </c>
      <c r="L16" s="95">
        <v>213444</v>
      </c>
      <c r="M16" s="95">
        <v>217950</v>
      </c>
      <c r="N16" s="95">
        <v>241689</v>
      </c>
      <c r="O16" s="95">
        <v>226969</v>
      </c>
      <c r="P16" s="95">
        <v>247516</v>
      </c>
      <c r="Q16" s="95">
        <v>260975</v>
      </c>
      <c r="R16" s="1">
        <v>272761</v>
      </c>
      <c r="S16" s="1">
        <v>240676</v>
      </c>
      <c r="T16" s="1">
        <v>317242</v>
      </c>
      <c r="U16" s="1">
        <v>495879</v>
      </c>
    </row>
    <row r="17" spans="1:21" x14ac:dyDescent="0.2">
      <c r="A17" s="25"/>
      <c r="B17" s="41">
        <f t="shared" ref="B17:H17" si="0">SUM(B5:B16)</f>
        <v>1078409.4000000001</v>
      </c>
      <c r="C17" s="41">
        <f t="shared" si="0"/>
        <v>1108656.4500000002</v>
      </c>
      <c r="D17" s="41">
        <f t="shared" si="0"/>
        <v>1113774</v>
      </c>
      <c r="E17" s="41">
        <f t="shared" si="0"/>
        <v>1154077.75</v>
      </c>
      <c r="F17" s="41">
        <f t="shared" si="0"/>
        <v>1037978.4199999999</v>
      </c>
      <c r="G17" s="41">
        <f t="shared" si="0"/>
        <v>1093846</v>
      </c>
      <c r="H17" s="41">
        <f t="shared" si="0"/>
        <v>1108331</v>
      </c>
      <c r="I17" s="44">
        <f t="shared" ref="I17:N17" si="1">SUM(I5:I16)</f>
        <v>1132791</v>
      </c>
      <c r="J17" s="44">
        <f t="shared" si="1"/>
        <v>1200892</v>
      </c>
      <c r="K17" s="44">
        <f t="shared" si="1"/>
        <v>2053408</v>
      </c>
      <c r="L17" s="96">
        <f t="shared" si="1"/>
        <v>2484739</v>
      </c>
      <c r="M17" s="96">
        <f t="shared" si="1"/>
        <v>2670578</v>
      </c>
      <c r="N17" s="96">
        <f t="shared" si="1"/>
        <v>2831184</v>
      </c>
      <c r="O17" s="96">
        <f t="shared" ref="O17:P17" si="2">SUM(O5:O16)</f>
        <v>2880107</v>
      </c>
      <c r="P17" s="96">
        <f t="shared" si="2"/>
        <v>2916271</v>
      </c>
      <c r="Q17" s="96">
        <f t="shared" ref="Q17:S17" si="3">SUM(Q5:Q16)</f>
        <v>3055066</v>
      </c>
      <c r="R17" s="126">
        <f t="shared" ref="R17" si="4">SUM(R5:R16)</f>
        <v>3279045</v>
      </c>
      <c r="S17" s="126">
        <f t="shared" si="3"/>
        <v>3623121</v>
      </c>
      <c r="T17" s="126">
        <f t="shared" ref="T17:U17" si="5">SUM(T5:T16)</f>
        <v>3851820</v>
      </c>
      <c r="U17" s="126">
        <f t="shared" si="5"/>
        <v>5350331</v>
      </c>
    </row>
    <row r="18" spans="1:21" x14ac:dyDescent="0.2">
      <c r="A18" s="25"/>
      <c r="B18" s="2"/>
      <c r="L18" s="94"/>
    </row>
    <row r="19" spans="1:21" x14ac:dyDescent="0.2">
      <c r="A19" s="25"/>
      <c r="B19" s="2"/>
      <c r="F19" s="35" t="s">
        <v>110</v>
      </c>
      <c r="L19" s="94"/>
    </row>
    <row r="20" spans="1:21" x14ac:dyDescent="0.2">
      <c r="B20" s="2"/>
      <c r="F20" s="35" t="s">
        <v>111</v>
      </c>
      <c r="L20" s="94"/>
    </row>
    <row r="21" spans="1:21" x14ac:dyDescent="0.2">
      <c r="A21" s="24" t="s">
        <v>31</v>
      </c>
      <c r="B21" s="147">
        <v>0.01</v>
      </c>
      <c r="C21" s="94" t="s">
        <v>189</v>
      </c>
      <c r="L21" s="94"/>
    </row>
    <row r="22" spans="1:21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B23" s="2"/>
    </row>
    <row r="24" spans="1:21" x14ac:dyDescent="0.2">
      <c r="A24" s="26" t="s">
        <v>0</v>
      </c>
      <c r="B24" s="1">
        <v>1491.59</v>
      </c>
      <c r="C24" s="1">
        <v>2875</v>
      </c>
      <c r="D24" s="2">
        <v>2322.7399999999998</v>
      </c>
      <c r="E24" s="2">
        <v>3556.5</v>
      </c>
      <c r="F24" s="2">
        <v>3108.4</v>
      </c>
      <c r="G24" s="2">
        <v>4829</v>
      </c>
      <c r="H24" s="2">
        <v>2939</v>
      </c>
      <c r="I24" s="2">
        <v>4461</v>
      </c>
      <c r="J24" s="2">
        <v>3040</v>
      </c>
      <c r="K24" s="2">
        <v>3130</v>
      </c>
      <c r="L24" s="102">
        <v>4143</v>
      </c>
      <c r="M24" s="117">
        <v>6445</v>
      </c>
      <c r="N24" s="117">
        <v>11529</v>
      </c>
      <c r="O24" s="117">
        <v>11215</v>
      </c>
      <c r="P24" s="117">
        <v>7015</v>
      </c>
      <c r="Q24" s="117">
        <v>5660</v>
      </c>
      <c r="R24" s="1">
        <v>7147</v>
      </c>
      <c r="S24" s="1">
        <v>6683</v>
      </c>
      <c r="T24" s="1">
        <v>10327</v>
      </c>
      <c r="U24" s="1">
        <v>9260</v>
      </c>
    </row>
    <row r="25" spans="1:21" x14ac:dyDescent="0.2">
      <c r="A25" s="26" t="s">
        <v>1</v>
      </c>
      <c r="B25" s="1">
        <v>1027</v>
      </c>
      <c r="C25" s="1">
        <v>1204</v>
      </c>
      <c r="D25" s="2">
        <v>1894</v>
      </c>
      <c r="E25" s="2">
        <f>3426.4-6</f>
        <v>3420.4</v>
      </c>
      <c r="F25" s="2">
        <v>2361.12</v>
      </c>
      <c r="G25" s="2">
        <v>1946</v>
      </c>
      <c r="H25" s="2">
        <v>1853</v>
      </c>
      <c r="I25" s="2">
        <v>3306</v>
      </c>
      <c r="J25" s="2">
        <v>3146</v>
      </c>
      <c r="K25" s="2">
        <v>1476</v>
      </c>
      <c r="L25" s="102">
        <v>2628</v>
      </c>
      <c r="M25" s="117">
        <v>3412</v>
      </c>
      <c r="N25" s="117">
        <v>10383</v>
      </c>
      <c r="O25" s="117">
        <v>4628</v>
      </c>
      <c r="P25" s="117">
        <v>4678</v>
      </c>
      <c r="Q25" s="117">
        <v>4370</v>
      </c>
      <c r="R25" s="1">
        <v>5153</v>
      </c>
      <c r="S25" s="1">
        <v>7846</v>
      </c>
      <c r="T25" s="1">
        <v>5876</v>
      </c>
      <c r="U25" s="1">
        <v>6594</v>
      </c>
    </row>
    <row r="26" spans="1:21" x14ac:dyDescent="0.2">
      <c r="A26" s="26" t="s">
        <v>2</v>
      </c>
      <c r="B26" s="1">
        <v>2196</v>
      </c>
      <c r="C26" s="1">
        <v>3552.3</v>
      </c>
      <c r="D26" s="2">
        <v>1101</v>
      </c>
      <c r="E26" s="2">
        <v>4069.3</v>
      </c>
      <c r="F26" s="2">
        <v>25692</v>
      </c>
      <c r="G26" s="2">
        <v>1630</v>
      </c>
      <c r="H26" s="2">
        <v>1326</v>
      </c>
      <c r="I26" s="2">
        <v>2981</v>
      </c>
      <c r="J26" s="2">
        <v>933</v>
      </c>
      <c r="K26" s="2">
        <v>2058</v>
      </c>
      <c r="L26" s="102">
        <v>3207</v>
      </c>
      <c r="M26" s="117">
        <v>3098</v>
      </c>
      <c r="N26" s="117">
        <v>100070</v>
      </c>
      <c r="O26" s="117">
        <v>3812</v>
      </c>
      <c r="P26" s="117">
        <v>36248</v>
      </c>
      <c r="Q26" s="117">
        <v>5483</v>
      </c>
      <c r="R26" s="1">
        <v>8556</v>
      </c>
      <c r="S26" s="1">
        <v>3709</v>
      </c>
      <c r="T26" s="1">
        <v>5561</v>
      </c>
      <c r="U26" s="1">
        <v>7448</v>
      </c>
    </row>
    <row r="27" spans="1:21" x14ac:dyDescent="0.2">
      <c r="A27" s="26" t="s">
        <v>3</v>
      </c>
      <c r="B27" s="1">
        <v>2009</v>
      </c>
      <c r="C27" s="1">
        <v>1967</v>
      </c>
      <c r="D27" s="2">
        <v>2628.72</v>
      </c>
      <c r="E27" s="2">
        <v>1425</v>
      </c>
      <c r="F27" s="2">
        <v>1602.28</v>
      </c>
      <c r="G27" s="2">
        <v>6188</v>
      </c>
      <c r="H27" s="2">
        <v>497</v>
      </c>
      <c r="I27" s="2">
        <v>2482</v>
      </c>
      <c r="J27" s="2">
        <v>1633</v>
      </c>
      <c r="K27" s="2">
        <v>1207</v>
      </c>
      <c r="L27" s="102">
        <v>5578</v>
      </c>
      <c r="M27" s="117">
        <v>4955</v>
      </c>
      <c r="N27" s="117">
        <v>7184</v>
      </c>
      <c r="O27" s="117">
        <v>9458</v>
      </c>
      <c r="P27" s="117">
        <v>5371</v>
      </c>
      <c r="Q27" s="117">
        <v>8266</v>
      </c>
      <c r="R27" s="1">
        <v>7184</v>
      </c>
      <c r="S27" s="1">
        <v>4835</v>
      </c>
      <c r="T27" s="1">
        <v>16705</v>
      </c>
      <c r="U27" s="1">
        <v>8581</v>
      </c>
    </row>
    <row r="28" spans="1:21" x14ac:dyDescent="0.2">
      <c r="A28" s="26" t="s">
        <v>4</v>
      </c>
      <c r="B28" s="1">
        <v>1390.2</v>
      </c>
      <c r="C28" s="1">
        <v>2296</v>
      </c>
      <c r="D28" s="2">
        <v>1277.6099999999999</v>
      </c>
      <c r="E28" s="2">
        <v>1220.8</v>
      </c>
      <c r="F28" s="2">
        <v>20240</v>
      </c>
      <c r="G28" s="2">
        <v>3196</v>
      </c>
      <c r="H28" s="2">
        <v>1519</v>
      </c>
      <c r="I28" s="2">
        <v>2480</v>
      </c>
      <c r="J28" s="2">
        <v>968</v>
      </c>
      <c r="K28" s="2">
        <v>2447</v>
      </c>
      <c r="L28" s="102">
        <v>3423</v>
      </c>
      <c r="M28" s="117">
        <v>3370</v>
      </c>
      <c r="N28" s="117">
        <v>6488</v>
      </c>
      <c r="O28" s="117">
        <v>5486</v>
      </c>
      <c r="P28" s="117">
        <v>3637</v>
      </c>
      <c r="Q28" s="117">
        <v>4218</v>
      </c>
      <c r="R28" s="1">
        <v>4341</v>
      </c>
      <c r="S28" s="1">
        <v>7193</v>
      </c>
      <c r="T28" s="1">
        <v>6454</v>
      </c>
      <c r="U28" s="1">
        <v>10695</v>
      </c>
    </row>
    <row r="29" spans="1:21" x14ac:dyDescent="0.2">
      <c r="A29" s="26" t="s">
        <v>5</v>
      </c>
      <c r="B29" s="1">
        <v>1541.8</v>
      </c>
      <c r="C29" s="1">
        <v>3428</v>
      </c>
      <c r="D29" s="2">
        <v>1231.83</v>
      </c>
      <c r="E29" s="2">
        <v>5207.66</v>
      </c>
      <c r="F29" s="2">
        <v>1656.36</v>
      </c>
      <c r="G29" s="2">
        <v>2291</v>
      </c>
      <c r="H29" s="2">
        <v>1427</v>
      </c>
      <c r="I29" s="2">
        <v>3514</v>
      </c>
      <c r="J29" s="2">
        <v>1586</v>
      </c>
      <c r="K29" s="2">
        <v>3067</v>
      </c>
      <c r="L29" s="102">
        <v>2848</v>
      </c>
      <c r="M29" s="117">
        <v>5166</v>
      </c>
      <c r="N29" s="117">
        <v>11025</v>
      </c>
      <c r="O29" s="117">
        <v>5518</v>
      </c>
      <c r="P29" s="117">
        <v>3479</v>
      </c>
      <c r="Q29" s="117">
        <v>4332</v>
      </c>
      <c r="R29" s="1">
        <v>11040</v>
      </c>
      <c r="S29" s="1">
        <v>5052</v>
      </c>
      <c r="T29" s="1">
        <v>5750</v>
      </c>
      <c r="U29" s="1">
        <v>12618</v>
      </c>
    </row>
    <row r="30" spans="1:21" x14ac:dyDescent="0.2">
      <c r="A30" s="26" t="s">
        <v>6</v>
      </c>
      <c r="B30" s="1">
        <v>3053.37</v>
      </c>
      <c r="C30" s="1">
        <v>3020</v>
      </c>
      <c r="D30" s="2">
        <v>1541</v>
      </c>
      <c r="E30" s="2">
        <f>3153.92+5</f>
        <v>3158.92</v>
      </c>
      <c r="F30" s="2">
        <v>1758.21</v>
      </c>
      <c r="G30" s="2">
        <v>1664</v>
      </c>
      <c r="H30" s="2">
        <v>2174</v>
      </c>
      <c r="I30" s="2">
        <v>2463</v>
      </c>
      <c r="J30" s="2">
        <v>1435</v>
      </c>
      <c r="K30" s="2">
        <v>4205</v>
      </c>
      <c r="L30" s="102">
        <v>8067</v>
      </c>
      <c r="M30" s="117">
        <v>5975</v>
      </c>
      <c r="N30" s="117">
        <v>9696</v>
      </c>
      <c r="O30" s="117">
        <v>5912</v>
      </c>
      <c r="P30" s="117">
        <v>7802</v>
      </c>
      <c r="Q30" s="117">
        <v>7517</v>
      </c>
      <c r="R30" s="1">
        <v>14034</v>
      </c>
      <c r="S30" s="1">
        <v>7270</v>
      </c>
      <c r="T30" s="1">
        <v>8452</v>
      </c>
      <c r="U30" s="1">
        <v>13708</v>
      </c>
    </row>
    <row r="31" spans="1:21" x14ac:dyDescent="0.2">
      <c r="A31" s="26" t="s">
        <v>7</v>
      </c>
      <c r="B31" s="1">
        <v>1803</v>
      </c>
      <c r="C31" s="1">
        <v>6056</v>
      </c>
      <c r="D31" s="2">
        <v>1943.11</v>
      </c>
      <c r="E31" s="2">
        <v>4289.18</v>
      </c>
      <c r="F31" s="2">
        <v>3453.79</v>
      </c>
      <c r="G31" s="2">
        <v>2164</v>
      </c>
      <c r="H31" s="2">
        <v>2575</v>
      </c>
      <c r="I31" s="2">
        <v>1428</v>
      </c>
      <c r="J31" s="2">
        <v>1314</v>
      </c>
      <c r="K31" s="2">
        <v>3716</v>
      </c>
      <c r="L31" s="102">
        <v>2666</v>
      </c>
      <c r="M31" s="117">
        <v>6656</v>
      </c>
      <c r="N31" s="117">
        <v>7197</v>
      </c>
      <c r="O31" s="117">
        <v>6184</v>
      </c>
      <c r="P31" s="117">
        <v>5987</v>
      </c>
      <c r="Q31" s="117">
        <v>6615</v>
      </c>
      <c r="R31" s="1">
        <v>9072</v>
      </c>
      <c r="S31" s="1">
        <v>7383</v>
      </c>
      <c r="T31" s="1">
        <v>9776</v>
      </c>
      <c r="U31" s="1">
        <v>13695</v>
      </c>
    </row>
    <row r="32" spans="1:21" x14ac:dyDescent="0.2">
      <c r="A32" s="26" t="s">
        <v>8</v>
      </c>
      <c r="B32" s="1">
        <v>1573</v>
      </c>
      <c r="C32" s="1">
        <v>8942.41</v>
      </c>
      <c r="D32" s="2">
        <v>1786.09</v>
      </c>
      <c r="E32" s="2">
        <v>5047.2</v>
      </c>
      <c r="F32" s="2">
        <v>2874</v>
      </c>
      <c r="G32" s="2">
        <v>1835</v>
      </c>
      <c r="H32" s="2">
        <v>2983</v>
      </c>
      <c r="I32" s="2">
        <v>2354</v>
      </c>
      <c r="J32" s="2">
        <v>1792</v>
      </c>
      <c r="K32" s="2">
        <v>3235</v>
      </c>
      <c r="L32" s="102">
        <v>1465</v>
      </c>
      <c r="M32" s="117">
        <v>6850</v>
      </c>
      <c r="N32" s="117">
        <v>7358</v>
      </c>
      <c r="O32" s="117">
        <v>5672</v>
      </c>
      <c r="P32" s="117">
        <v>5107</v>
      </c>
      <c r="Q32" s="117">
        <v>3527</v>
      </c>
      <c r="R32" s="2">
        <v>7819</v>
      </c>
      <c r="S32" s="1">
        <v>10241</v>
      </c>
      <c r="T32" s="1">
        <v>5413</v>
      </c>
      <c r="U32" s="1">
        <v>14657</v>
      </c>
    </row>
    <row r="33" spans="1:21" x14ac:dyDescent="0.2">
      <c r="A33" s="26" t="s">
        <v>9</v>
      </c>
      <c r="B33" s="1">
        <v>2239</v>
      </c>
      <c r="C33" s="1">
        <v>2888.77</v>
      </c>
      <c r="D33" s="2">
        <v>3971</v>
      </c>
      <c r="E33" s="2">
        <v>2374</v>
      </c>
      <c r="F33" s="2">
        <v>3889.45</v>
      </c>
      <c r="G33" s="2">
        <v>3228</v>
      </c>
      <c r="H33" s="2">
        <v>3535</v>
      </c>
      <c r="I33" s="2">
        <v>2408</v>
      </c>
      <c r="J33" s="2">
        <v>1812</v>
      </c>
      <c r="K33" s="2">
        <v>4108</v>
      </c>
      <c r="L33" s="102">
        <v>6632</v>
      </c>
      <c r="M33" s="117">
        <v>11146</v>
      </c>
      <c r="N33" s="117">
        <v>5724</v>
      </c>
      <c r="O33" s="117">
        <v>13253</v>
      </c>
      <c r="P33" s="117">
        <v>13152</v>
      </c>
      <c r="Q33" s="117">
        <v>3814</v>
      </c>
      <c r="R33" s="1">
        <v>11411</v>
      </c>
      <c r="S33" s="1">
        <v>11005</v>
      </c>
      <c r="T33" s="1">
        <v>8093</v>
      </c>
      <c r="U33" s="1">
        <v>13781</v>
      </c>
    </row>
    <row r="34" spans="1:21" x14ac:dyDescent="0.2">
      <c r="A34" s="26" t="s">
        <v>10</v>
      </c>
      <c r="B34" s="1">
        <v>1902.19</v>
      </c>
      <c r="C34" s="1">
        <v>1902</v>
      </c>
      <c r="D34" s="2">
        <v>2346.83</v>
      </c>
      <c r="E34" s="2">
        <v>2722.03</v>
      </c>
      <c r="F34" s="2"/>
      <c r="G34" s="2">
        <v>2249</v>
      </c>
      <c r="H34" s="2">
        <v>2671</v>
      </c>
      <c r="I34" s="2">
        <v>6835</v>
      </c>
      <c r="J34" s="2">
        <v>2305</v>
      </c>
      <c r="K34" s="2">
        <v>3206</v>
      </c>
      <c r="L34" s="102">
        <v>3303</v>
      </c>
      <c r="M34" s="117">
        <v>9819</v>
      </c>
      <c r="N34" s="117">
        <v>8258</v>
      </c>
      <c r="O34" s="117">
        <v>9020</v>
      </c>
      <c r="P34" s="117">
        <v>4020</v>
      </c>
      <c r="Q34" s="117">
        <v>5749</v>
      </c>
      <c r="R34" s="1">
        <v>6453</v>
      </c>
      <c r="S34" s="1">
        <v>-5768</v>
      </c>
      <c r="T34" s="1">
        <v>7529</v>
      </c>
      <c r="U34" s="1">
        <v>12183</v>
      </c>
    </row>
    <row r="35" spans="1:21" x14ac:dyDescent="0.2">
      <c r="A35" s="26" t="s">
        <v>11</v>
      </c>
      <c r="B35" s="39">
        <v>1129</v>
      </c>
      <c r="C35" s="39">
        <v>6881.02</v>
      </c>
      <c r="D35" s="39">
        <v>1860.5</v>
      </c>
      <c r="E35" s="39">
        <v>2468.37</v>
      </c>
      <c r="F35" s="39">
        <v>5091</v>
      </c>
      <c r="G35" s="40">
        <v>2157</v>
      </c>
      <c r="H35" s="40">
        <v>2286</v>
      </c>
      <c r="I35" s="40">
        <v>2429</v>
      </c>
      <c r="J35" s="40">
        <v>3578</v>
      </c>
      <c r="K35" s="40">
        <v>4296</v>
      </c>
      <c r="L35" s="95">
        <v>7682</v>
      </c>
      <c r="M35" s="95">
        <v>4803</v>
      </c>
      <c r="N35" s="95">
        <v>7101</v>
      </c>
      <c r="O35" s="95">
        <v>5019</v>
      </c>
      <c r="P35" s="95">
        <v>19974</v>
      </c>
      <c r="Q35" s="95">
        <v>2488</v>
      </c>
      <c r="R35" s="1">
        <v>4414</v>
      </c>
      <c r="S35" s="1">
        <v>20432</v>
      </c>
      <c r="T35" s="1">
        <v>7446</v>
      </c>
      <c r="U35" s="1">
        <v>9605</v>
      </c>
    </row>
    <row r="36" spans="1:21" x14ac:dyDescent="0.2">
      <c r="A36" s="25"/>
      <c r="B36" s="41">
        <f t="shared" ref="B36:H36" si="6">SUM(B24:B35)</f>
        <v>21355.149999999998</v>
      </c>
      <c r="C36" s="41">
        <f t="shared" si="6"/>
        <v>45012.5</v>
      </c>
      <c r="D36" s="41">
        <f t="shared" si="6"/>
        <v>23904.43</v>
      </c>
      <c r="E36" s="41">
        <f t="shared" si="6"/>
        <v>38959.360000000008</v>
      </c>
      <c r="F36" s="41">
        <f t="shared" si="6"/>
        <v>71726.61</v>
      </c>
      <c r="G36" s="41">
        <f t="shared" si="6"/>
        <v>33377</v>
      </c>
      <c r="H36" s="41">
        <f t="shared" si="6"/>
        <v>25785</v>
      </c>
      <c r="I36" s="44">
        <f t="shared" ref="I36:O36" si="7">SUM(I24:I35)</f>
        <v>37141</v>
      </c>
      <c r="J36" s="44">
        <f t="shared" si="7"/>
        <v>23542</v>
      </c>
      <c r="K36" s="44">
        <f t="shared" si="7"/>
        <v>36151</v>
      </c>
      <c r="L36" s="96">
        <f t="shared" si="7"/>
        <v>51642</v>
      </c>
      <c r="M36" s="96">
        <f t="shared" si="7"/>
        <v>71695</v>
      </c>
      <c r="N36" s="96">
        <f t="shared" si="7"/>
        <v>192013</v>
      </c>
      <c r="O36" s="96">
        <f t="shared" si="7"/>
        <v>85177</v>
      </c>
      <c r="P36" s="96">
        <f t="shared" ref="P36:Q36" si="8">SUM(P24:P35)</f>
        <v>116470</v>
      </c>
      <c r="Q36" s="96">
        <f t="shared" si="8"/>
        <v>62039</v>
      </c>
      <c r="R36" s="126">
        <f t="shared" ref="R36:S36" si="9">SUM(R24:R35)</f>
        <v>96624</v>
      </c>
      <c r="S36" s="126">
        <f t="shared" si="9"/>
        <v>85881</v>
      </c>
      <c r="T36" s="126">
        <f t="shared" ref="T36:U36" si="10">SUM(T24:T35)</f>
        <v>97382</v>
      </c>
      <c r="U36" s="126">
        <f t="shared" si="10"/>
        <v>132825</v>
      </c>
    </row>
    <row r="37" spans="1:21" x14ac:dyDescent="0.2">
      <c r="A37" s="25"/>
      <c r="L37" s="94"/>
    </row>
    <row r="38" spans="1:21" x14ac:dyDescent="0.2">
      <c r="A38" s="25"/>
    </row>
    <row r="39" spans="1:21" x14ac:dyDescent="0.2">
      <c r="A39" s="29" t="s">
        <v>251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7">
        <v>0</v>
      </c>
      <c r="P42" s="117">
        <v>-263</v>
      </c>
      <c r="Q42" s="117">
        <v>-1</v>
      </c>
      <c r="R42" s="117">
        <v>0</v>
      </c>
      <c r="S42" s="117">
        <v>0</v>
      </c>
      <c r="T42" s="117">
        <v>0</v>
      </c>
      <c r="U42" s="117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-83</v>
      </c>
      <c r="I43" s="2">
        <v>0</v>
      </c>
      <c r="J43" s="2">
        <v>-1</v>
      </c>
      <c r="K43" s="2">
        <v>0</v>
      </c>
      <c r="L43" s="2">
        <v>0</v>
      </c>
      <c r="M43" s="2">
        <v>0</v>
      </c>
      <c r="N43" s="2">
        <v>-64</v>
      </c>
      <c r="O43" s="117">
        <v>0</v>
      </c>
      <c r="P43" s="117">
        <v>-25</v>
      </c>
      <c r="Q43" s="117">
        <v>0</v>
      </c>
      <c r="R43" s="117">
        <v>0</v>
      </c>
      <c r="S43" s="117">
        <v>0</v>
      </c>
      <c r="T43" s="117">
        <v>-4</v>
      </c>
      <c r="U43" s="117">
        <v>-47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-3</v>
      </c>
      <c r="H44" s="2">
        <v>0</v>
      </c>
      <c r="I44" s="2">
        <v>0</v>
      </c>
      <c r="J44" s="2">
        <v>-263</v>
      </c>
      <c r="K44" s="2">
        <v>0</v>
      </c>
      <c r="L44" s="2">
        <v>0</v>
      </c>
      <c r="M44" s="2">
        <v>-8</v>
      </c>
      <c r="N44" s="2">
        <v>-443</v>
      </c>
      <c r="O44" s="117">
        <v>0</v>
      </c>
      <c r="P44" s="117">
        <v>-20</v>
      </c>
      <c r="Q44" s="117">
        <v>-30</v>
      </c>
      <c r="R44" s="117">
        <v>0</v>
      </c>
      <c r="S44" s="117">
        <v>-3</v>
      </c>
      <c r="T44" s="1">
        <v>-4277</v>
      </c>
      <c r="U44" s="151">
        <v>-3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0</v>
      </c>
      <c r="H45" s="2">
        <v>0</v>
      </c>
      <c r="I45" s="2">
        <v>0</v>
      </c>
      <c r="J45" s="2">
        <v>-102</v>
      </c>
      <c r="K45" s="2">
        <v>-383</v>
      </c>
      <c r="L45" s="2">
        <v>0</v>
      </c>
      <c r="M45" s="2">
        <v>0</v>
      </c>
      <c r="N45" s="2">
        <v>-16</v>
      </c>
      <c r="O45" s="117">
        <v>-49</v>
      </c>
      <c r="P45" s="117">
        <v>-154</v>
      </c>
      <c r="Q45" s="117">
        <v>-63</v>
      </c>
      <c r="R45" s="117">
        <v>-1702</v>
      </c>
      <c r="S45" s="117">
        <v>-167</v>
      </c>
      <c r="T45" s="117">
        <v>0</v>
      </c>
      <c r="U45" s="117">
        <v>-138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0</v>
      </c>
      <c r="H46" s="2">
        <v>0</v>
      </c>
      <c r="I46" s="2">
        <v>0</v>
      </c>
      <c r="J46" s="2">
        <v>0</v>
      </c>
      <c r="K46" s="2">
        <v>-1213</v>
      </c>
      <c r="L46" s="2">
        <v>0</v>
      </c>
      <c r="M46" s="2">
        <v>-70</v>
      </c>
      <c r="N46" s="2">
        <v>0</v>
      </c>
      <c r="O46" s="117">
        <v>8</v>
      </c>
      <c r="P46" s="117">
        <v>0</v>
      </c>
      <c r="Q46" s="117">
        <v>0</v>
      </c>
      <c r="R46" s="117">
        <v>-227</v>
      </c>
      <c r="S46" s="117">
        <v>0</v>
      </c>
      <c r="T46" s="117">
        <v>-49</v>
      </c>
      <c r="U46" s="117">
        <v>0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-75</v>
      </c>
      <c r="N47" s="2">
        <v>0</v>
      </c>
      <c r="O47" s="117">
        <v>0</v>
      </c>
      <c r="P47" s="117">
        <v>-1147</v>
      </c>
      <c r="Q47" s="117">
        <v>0</v>
      </c>
      <c r="R47" s="117">
        <v>0</v>
      </c>
      <c r="S47" s="117">
        <v>-42</v>
      </c>
      <c r="T47" s="117">
        <v>-44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0</v>
      </c>
      <c r="H48" s="2">
        <v>0</v>
      </c>
      <c r="I48" s="2">
        <v>-72</v>
      </c>
      <c r="J48" s="2">
        <v>-258</v>
      </c>
      <c r="K48" s="2">
        <v>0</v>
      </c>
      <c r="L48" s="2">
        <v>-3254</v>
      </c>
      <c r="M48" s="2">
        <v>0</v>
      </c>
      <c r="N48" s="2">
        <v>-812</v>
      </c>
      <c r="O48" s="117">
        <v>-10</v>
      </c>
      <c r="P48" s="117">
        <v>0</v>
      </c>
      <c r="Q48" s="117">
        <v>-3</v>
      </c>
      <c r="R48" s="117">
        <v>0</v>
      </c>
      <c r="S48" s="117">
        <v>0</v>
      </c>
      <c r="T48" s="117">
        <v>-67</v>
      </c>
      <c r="U48" s="117">
        <v>-1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0</v>
      </c>
      <c r="H49" s="2">
        <v>0</v>
      </c>
      <c r="I49" s="2">
        <v>-537</v>
      </c>
      <c r="J49" s="2">
        <v>0</v>
      </c>
      <c r="K49" s="2">
        <v>-68</v>
      </c>
      <c r="L49" s="2">
        <v>-9</v>
      </c>
      <c r="M49" s="2">
        <v>-1</v>
      </c>
      <c r="N49" s="2">
        <v>0</v>
      </c>
      <c r="O49" s="117">
        <v>0</v>
      </c>
      <c r="P49" s="117">
        <v>0</v>
      </c>
      <c r="Q49" s="117">
        <v>-1</v>
      </c>
      <c r="R49" s="1">
        <v>-1929</v>
      </c>
      <c r="S49" s="117">
        <v>0</v>
      </c>
      <c r="T49" s="117">
        <v>-72</v>
      </c>
      <c r="U49" s="117">
        <v>-38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0</v>
      </c>
      <c r="H50" s="2">
        <v>0</v>
      </c>
      <c r="I50" s="2">
        <v>-1</v>
      </c>
      <c r="J50" s="2">
        <v>0</v>
      </c>
      <c r="K50" s="2">
        <v>-1046</v>
      </c>
      <c r="L50" s="2">
        <v>-490</v>
      </c>
      <c r="M50" s="2">
        <v>0</v>
      </c>
      <c r="N50" s="2">
        <v>0</v>
      </c>
      <c r="O50" s="117">
        <v>-124</v>
      </c>
      <c r="P50" s="117">
        <v>0</v>
      </c>
      <c r="Q50" s="117">
        <v>0</v>
      </c>
      <c r="R50" s="117">
        <v>-1</v>
      </c>
      <c r="S50" s="117">
        <v>0</v>
      </c>
      <c r="T50" s="117">
        <v>0</v>
      </c>
      <c r="U50" s="1">
        <v>-7399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-24802</v>
      </c>
      <c r="H51" s="2">
        <v>0</v>
      </c>
      <c r="I51" s="2">
        <v>-1</v>
      </c>
      <c r="J51" s="2">
        <v>0</v>
      </c>
      <c r="K51" s="2">
        <v>-302</v>
      </c>
      <c r="L51" s="2">
        <v>-71</v>
      </c>
      <c r="M51" s="2">
        <v>0</v>
      </c>
      <c r="N51" s="2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-9</v>
      </c>
      <c r="H52" s="2">
        <v>0</v>
      </c>
      <c r="I52" s="2">
        <v>0</v>
      </c>
      <c r="J52" s="2">
        <v>-72</v>
      </c>
      <c r="K52" s="2">
        <v>0</v>
      </c>
      <c r="L52" s="2">
        <v>0</v>
      </c>
      <c r="M52" s="2">
        <v>-151</v>
      </c>
      <c r="N52" s="2">
        <v>0</v>
      </c>
      <c r="O52" s="117">
        <v>0</v>
      </c>
      <c r="P52" s="117">
        <v>0</v>
      </c>
      <c r="Q52" s="117">
        <v>0</v>
      </c>
      <c r="R52" s="1">
        <v>-67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-10</v>
      </c>
      <c r="L53" s="40">
        <v>0</v>
      </c>
      <c r="M53" s="40">
        <v>0</v>
      </c>
      <c r="N53" s="40">
        <v>-15445</v>
      </c>
      <c r="O53" s="95">
        <v>-2</v>
      </c>
      <c r="P53" s="168">
        <v>0</v>
      </c>
      <c r="Q53" s="168">
        <v>0</v>
      </c>
      <c r="R53" s="168">
        <v>-8</v>
      </c>
      <c r="S53" s="182">
        <v>0</v>
      </c>
      <c r="T53" s="182">
        <v>-24</v>
      </c>
      <c r="U53" s="182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O54" si="11">SUM(F42:F53)</f>
        <v>0</v>
      </c>
      <c r="G54" s="126">
        <f t="shared" si="11"/>
        <v>-24814</v>
      </c>
      <c r="H54" s="126">
        <f t="shared" si="11"/>
        <v>-83</v>
      </c>
      <c r="I54" s="126">
        <f t="shared" si="11"/>
        <v>-611</v>
      </c>
      <c r="J54" s="126">
        <f t="shared" si="11"/>
        <v>-696</v>
      </c>
      <c r="K54" s="126">
        <f t="shared" si="11"/>
        <v>-3022</v>
      </c>
      <c r="L54" s="126">
        <f t="shared" si="11"/>
        <v>-3824</v>
      </c>
      <c r="M54" s="126">
        <f t="shared" si="11"/>
        <v>-305</v>
      </c>
      <c r="N54" s="126">
        <f t="shared" si="11"/>
        <v>-16780</v>
      </c>
      <c r="O54" s="96">
        <f t="shared" si="11"/>
        <v>-177</v>
      </c>
      <c r="P54" s="96">
        <f t="shared" ref="P54:Q54" si="12">SUM(P42:P53)</f>
        <v>-1609</v>
      </c>
      <c r="Q54" s="96">
        <f t="shared" si="12"/>
        <v>-98</v>
      </c>
      <c r="R54" s="126">
        <f t="shared" ref="R54:S54" si="13">SUM(R42:R53)</f>
        <v>-3934</v>
      </c>
      <c r="S54" s="126">
        <f t="shared" si="13"/>
        <v>-212</v>
      </c>
      <c r="T54" s="126">
        <f t="shared" ref="T54:U54" si="14">SUM(T42:T53)</f>
        <v>-4537</v>
      </c>
      <c r="U54" s="126">
        <f t="shared" si="14"/>
        <v>-7626</v>
      </c>
    </row>
  </sheetData>
  <phoneticPr fontId="4" type="noConversion"/>
  <pageMargins left="0.2" right="0.2" top="0.82" bottom="0.71" header="0.26" footer="0.35"/>
  <pageSetup scale="89" orientation="landscape" r:id="rId1"/>
  <headerFooter alignWithMargins="0">
    <oddHeader>&amp;A</oddHeader>
  </headerFooter>
  <legacy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9" width="9.28515625" bestFit="1" customWidth="1"/>
  </cols>
  <sheetData>
    <row r="1" spans="1:21" x14ac:dyDescent="0.2">
      <c r="A1" s="121" t="s">
        <v>338</v>
      </c>
    </row>
    <row r="2" spans="1:21" x14ac:dyDescent="0.2">
      <c r="A2" s="24" t="s">
        <v>339</v>
      </c>
      <c r="B2" s="6">
        <v>0.01</v>
      </c>
      <c r="D2" s="94" t="s">
        <v>322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>
        <v>0</v>
      </c>
      <c r="Q5" s="117">
        <v>14423</v>
      </c>
      <c r="R5" s="117">
        <v>14170</v>
      </c>
      <c r="S5" s="1">
        <v>18636</v>
      </c>
      <c r="T5" s="1">
        <v>21123</v>
      </c>
      <c r="U5" s="1">
        <v>20488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>
        <v>22041</v>
      </c>
      <c r="Q6" s="117">
        <v>11701</v>
      </c>
      <c r="R6" s="1">
        <v>13623</v>
      </c>
      <c r="S6" s="1">
        <v>18660</v>
      </c>
      <c r="T6" s="1">
        <v>18455</v>
      </c>
      <c r="U6" s="1">
        <v>21741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>
        <v>11320</v>
      </c>
      <c r="Q7" s="117">
        <v>12739</v>
      </c>
      <c r="R7" s="113">
        <v>12756</v>
      </c>
      <c r="S7" s="1">
        <v>21371</v>
      </c>
      <c r="T7" s="1">
        <v>18592</v>
      </c>
      <c r="U7" s="1">
        <v>22999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13429</v>
      </c>
      <c r="Q8" s="117">
        <v>11193</v>
      </c>
      <c r="R8" s="117">
        <v>13013</v>
      </c>
      <c r="S8" s="1">
        <v>19575</v>
      </c>
      <c r="T8" s="1">
        <v>19742</v>
      </c>
      <c r="U8" s="1">
        <v>19700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9313</v>
      </c>
      <c r="Q9" s="117">
        <v>10546</v>
      </c>
      <c r="R9" s="117">
        <v>12789</v>
      </c>
      <c r="S9" s="1">
        <v>15470</v>
      </c>
      <c r="T9" s="1">
        <v>15250</v>
      </c>
      <c r="U9" s="1">
        <v>18167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13150</v>
      </c>
      <c r="Q10" s="117">
        <v>15332</v>
      </c>
      <c r="R10" s="1">
        <v>19221</v>
      </c>
      <c r="S10" s="1">
        <v>23219</v>
      </c>
      <c r="T10" s="1">
        <v>23897</v>
      </c>
      <c r="U10" s="1">
        <v>24929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23451</v>
      </c>
      <c r="Q11" s="117">
        <v>18291</v>
      </c>
      <c r="R11" s="1">
        <v>21806</v>
      </c>
      <c r="S11" s="1">
        <v>24247</v>
      </c>
      <c r="T11" s="1">
        <v>28860</v>
      </c>
      <c r="U11" s="1">
        <v>28740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18663</v>
      </c>
      <c r="Q12" s="117">
        <v>23842</v>
      </c>
      <c r="R12" s="1">
        <v>26186</v>
      </c>
      <c r="S12" s="1">
        <v>27513</v>
      </c>
      <c r="T12" s="1">
        <v>26752</v>
      </c>
      <c r="U12" s="1">
        <v>30385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14841</v>
      </c>
      <c r="Q13" s="117">
        <v>20309</v>
      </c>
      <c r="R13" s="2">
        <v>24022</v>
      </c>
      <c r="S13" s="1">
        <v>24090</v>
      </c>
      <c r="T13" s="1">
        <v>19618</v>
      </c>
      <c r="U13" s="1">
        <v>26184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16067</v>
      </c>
      <c r="Q14" s="117">
        <v>17941</v>
      </c>
      <c r="R14" s="1">
        <v>22362</v>
      </c>
      <c r="S14" s="1">
        <v>22158</v>
      </c>
      <c r="T14" s="1">
        <v>25047</v>
      </c>
      <c r="U14" s="1">
        <v>29481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11365</v>
      </c>
      <c r="Q15" s="117">
        <v>13807</v>
      </c>
      <c r="R15" s="1">
        <v>19753</v>
      </c>
      <c r="S15" s="1">
        <v>17914</v>
      </c>
      <c r="T15" s="1">
        <v>20193</v>
      </c>
      <c r="U15" s="1">
        <v>47246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10355</v>
      </c>
      <c r="Q16" s="95">
        <v>11982</v>
      </c>
      <c r="R16" s="1">
        <v>20937</v>
      </c>
      <c r="S16" s="1">
        <v>17855</v>
      </c>
      <c r="T16" s="1">
        <v>19516</v>
      </c>
      <c r="U16" s="1">
        <v>26594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163995</v>
      </c>
      <c r="Q17" s="96">
        <f>SUM(Q5:Q16)</f>
        <v>182106</v>
      </c>
      <c r="R17" s="126">
        <f t="shared" ref="R17" si="0">SUM(R5:R16)</f>
        <v>220638</v>
      </c>
      <c r="S17" s="126">
        <f>SUM(S5:S16)</f>
        <v>250708</v>
      </c>
      <c r="T17" s="126">
        <f t="shared" ref="T17" si="1">SUM(T5:T16)</f>
        <v>257045</v>
      </c>
      <c r="U17" s="126">
        <f>SUM(U5:U16)</f>
        <v>316654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340</v>
      </c>
      <c r="B21" s="6">
        <v>0.01</v>
      </c>
      <c r="D21" s="94" t="s">
        <v>322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>
        <v>0</v>
      </c>
      <c r="Q24" s="117">
        <v>483</v>
      </c>
      <c r="R24" s="117">
        <v>335</v>
      </c>
      <c r="S24" s="1">
        <v>1342</v>
      </c>
      <c r="T24" s="1">
        <v>206</v>
      </c>
      <c r="U24" s="1">
        <v>281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>
        <v>88</v>
      </c>
      <c r="Q25" s="117">
        <v>341</v>
      </c>
      <c r="R25" s="113">
        <v>98</v>
      </c>
      <c r="S25" s="117">
        <v>76</v>
      </c>
      <c r="T25" s="1">
        <v>148</v>
      </c>
      <c r="U25" s="117">
        <v>299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>
        <v>129</v>
      </c>
      <c r="Q26" s="117">
        <v>136</v>
      </c>
      <c r="R26" s="117">
        <v>122</v>
      </c>
      <c r="S26" s="1">
        <v>19575</v>
      </c>
      <c r="T26" s="1">
        <v>218</v>
      </c>
      <c r="U26" s="1">
        <v>114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288</v>
      </c>
      <c r="Q27" s="117">
        <v>142</v>
      </c>
      <c r="R27" s="117">
        <v>154</v>
      </c>
      <c r="S27" s="117">
        <v>842</v>
      </c>
      <c r="T27" s="1">
        <v>383</v>
      </c>
      <c r="U27" s="117">
        <v>697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507</v>
      </c>
      <c r="Q28" s="117">
        <v>355</v>
      </c>
      <c r="R28" s="117">
        <v>496</v>
      </c>
      <c r="S28" s="1">
        <v>273</v>
      </c>
      <c r="T28" s="1">
        <v>134</v>
      </c>
      <c r="U28" s="1">
        <v>333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1037</v>
      </c>
      <c r="Q29" s="117">
        <v>657</v>
      </c>
      <c r="R29" s="117">
        <v>353</v>
      </c>
      <c r="S29" s="117">
        <v>136</v>
      </c>
      <c r="T29" s="1">
        <v>512</v>
      </c>
      <c r="U29" s="117">
        <v>393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1077</v>
      </c>
      <c r="Q30" s="117">
        <v>370</v>
      </c>
      <c r="R30" s="117">
        <v>211</v>
      </c>
      <c r="S30" s="117">
        <v>165</v>
      </c>
      <c r="T30" s="1">
        <v>637</v>
      </c>
      <c r="U30" s="1">
        <v>1112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1471</v>
      </c>
      <c r="Q31" s="117">
        <v>356</v>
      </c>
      <c r="R31" s="117">
        <v>314</v>
      </c>
      <c r="S31" s="117">
        <v>427</v>
      </c>
      <c r="T31" s="1">
        <v>2120</v>
      </c>
      <c r="U31" s="117">
        <v>642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956</v>
      </c>
      <c r="Q32" s="117">
        <v>202</v>
      </c>
      <c r="R32" s="117">
        <v>275</v>
      </c>
      <c r="S32" s="1">
        <v>203</v>
      </c>
      <c r="T32" s="1">
        <v>385</v>
      </c>
      <c r="U32" s="1">
        <v>424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389</v>
      </c>
      <c r="Q33" s="117">
        <v>598</v>
      </c>
      <c r="R33" s="1">
        <v>275</v>
      </c>
      <c r="S33" s="117">
        <v>558</v>
      </c>
      <c r="T33" s="1">
        <v>712</v>
      </c>
      <c r="U33" s="1">
        <v>470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492</v>
      </c>
      <c r="Q34" s="117">
        <v>263</v>
      </c>
      <c r="R34" s="117">
        <v>198</v>
      </c>
      <c r="S34" s="1">
        <v>1429</v>
      </c>
      <c r="T34" s="1">
        <v>351</v>
      </c>
      <c r="U34" s="1">
        <v>518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62</v>
      </c>
      <c r="Q35" s="95">
        <v>93</v>
      </c>
      <c r="R35" s="95">
        <v>176</v>
      </c>
      <c r="S35" s="162">
        <v>188</v>
      </c>
      <c r="T35" s="1">
        <v>378</v>
      </c>
      <c r="U35" s="1">
        <v>1450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6496</v>
      </c>
      <c r="Q36" s="96">
        <f>SUM(Q24:Q35)</f>
        <v>3996</v>
      </c>
      <c r="R36" s="126">
        <f t="shared" ref="R36" si="2">SUM(R24:R35)</f>
        <v>3007</v>
      </c>
      <c r="S36" s="126">
        <f>SUM(S24:S35)</f>
        <v>25214</v>
      </c>
      <c r="T36" s="126">
        <f t="shared" ref="T36" si="3">SUM(T24:T35)</f>
        <v>6184</v>
      </c>
      <c r="U36" s="126">
        <f>SUM(U24:U35)</f>
        <v>6733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341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>
        <v>0</v>
      </c>
      <c r="Q42" s="117">
        <v>0</v>
      </c>
      <c r="R42" s="117">
        <v>0</v>
      </c>
      <c r="S42" s="117">
        <v>0</v>
      </c>
      <c r="T42" s="1">
        <v>0</v>
      </c>
      <c r="U42" s="117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>
        <v>0</v>
      </c>
      <c r="Q43" s="117">
        <v>0</v>
      </c>
      <c r="R43" s="117">
        <v>0</v>
      </c>
      <c r="S43" s="117">
        <v>0</v>
      </c>
      <c r="T43" s="1">
        <v>0</v>
      </c>
      <c r="U43" s="117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>
        <v>0</v>
      </c>
      <c r="Q44" s="117">
        <v>0</v>
      </c>
      <c r="R44" s="117">
        <v>0</v>
      </c>
      <c r="S44" s="117">
        <v>0</v>
      </c>
      <c r="T44" s="1">
        <v>0</v>
      </c>
      <c r="U44" s="117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0</v>
      </c>
      <c r="R45" s="117">
        <v>0</v>
      </c>
      <c r="S45" s="117">
        <v>0</v>
      </c>
      <c r="T45" s="1">
        <v>0</v>
      </c>
      <c r="U45" s="117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17">
        <v>0</v>
      </c>
      <c r="S46" s="117">
        <v>0</v>
      </c>
      <c r="T46" s="1">
        <v>0</v>
      </c>
      <c r="U46" s="117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0</v>
      </c>
      <c r="R47" s="117">
        <v>0</v>
      </c>
      <c r="S47" s="117">
        <v>0</v>
      </c>
      <c r="T47" s="1">
        <v>0</v>
      </c>
      <c r="U47" s="117">
        <v>-214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17">
        <v>0</v>
      </c>
      <c r="S48" s="117">
        <v>0</v>
      </c>
      <c r="T48" s="1">
        <v>0</v>
      </c>
      <c r="U48" s="117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0</v>
      </c>
      <c r="R49" s="117">
        <v>0</v>
      </c>
      <c r="S49" s="117">
        <v>0</v>
      </c>
      <c r="T49" s="1">
        <v>0</v>
      </c>
      <c r="U49" s="117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0</v>
      </c>
      <c r="S50" s="117">
        <v>0</v>
      </c>
      <c r="T50" s="1">
        <v>0</v>
      </c>
      <c r="U50" s="117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17">
        <v>0</v>
      </c>
      <c r="S51" s="117">
        <v>0</v>
      </c>
      <c r="T51" s="1">
        <v>0</v>
      </c>
      <c r="U51" s="117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17">
        <v>0</v>
      </c>
      <c r="S52" s="117">
        <v>0</v>
      </c>
      <c r="T52" s="1">
        <v>0</v>
      </c>
      <c r="U52" s="117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168">
        <v>0</v>
      </c>
      <c r="Q53" s="168">
        <v>0</v>
      </c>
      <c r="R53" s="168">
        <v>0</v>
      </c>
      <c r="S53" s="182">
        <v>0</v>
      </c>
      <c r="T53" s="1">
        <v>0</v>
      </c>
      <c r="U53" s="182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0</v>
      </c>
      <c r="S54" s="126">
        <f>SUM(S42:S53)</f>
        <v>0</v>
      </c>
      <c r="T54" s="126">
        <f t="shared" ref="T54" si="5">SUM(T42:T53)</f>
        <v>0</v>
      </c>
      <c r="U54" s="126">
        <f>SUM(U42:U53)</f>
        <v>-214</v>
      </c>
    </row>
    <row r="55" spans="1:21" x14ac:dyDescent="0.2">
      <c r="F55" s="2"/>
    </row>
    <row r="56" spans="1:21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347</v>
      </c>
    </row>
    <row r="2" spans="1:21" x14ac:dyDescent="0.2">
      <c r="A2" s="24" t="s">
        <v>84</v>
      </c>
      <c r="B2" s="6">
        <v>5.0000000000000001E-3</v>
      </c>
      <c r="D2" s="94" t="s">
        <v>348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>
        <v>269603</v>
      </c>
      <c r="R5" s="1">
        <v>282032</v>
      </c>
      <c r="S5" s="1">
        <v>341012</v>
      </c>
      <c r="T5" s="1">
        <v>314142</v>
      </c>
      <c r="U5" s="1">
        <v>361551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>
        <v>205188</v>
      </c>
      <c r="R6" s="1">
        <v>209445</v>
      </c>
      <c r="S6" s="1">
        <v>255144</v>
      </c>
      <c r="T6" s="1">
        <v>274707</v>
      </c>
      <c r="U6" s="1">
        <v>298243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>
        <v>188048</v>
      </c>
      <c r="R7" s="1">
        <v>211401</v>
      </c>
      <c r="S7" s="1">
        <v>239813</v>
      </c>
      <c r="T7" s="1">
        <v>262334</v>
      </c>
      <c r="U7" s="1">
        <v>275211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>
        <v>58</v>
      </c>
      <c r="Q8" s="117">
        <v>217411</v>
      </c>
      <c r="R8" s="1">
        <v>228996</v>
      </c>
      <c r="S8" s="1">
        <v>309969</v>
      </c>
      <c r="T8" s="1">
        <v>310830</v>
      </c>
      <c r="U8" s="1">
        <v>346715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>
        <v>156906</v>
      </c>
      <c r="Q9" s="117">
        <v>229471</v>
      </c>
      <c r="R9" s="1">
        <v>250608</v>
      </c>
      <c r="S9" s="1">
        <v>330580</v>
      </c>
      <c r="T9" s="1">
        <v>331792</v>
      </c>
      <c r="U9" s="1">
        <v>347256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>
        <v>265247</v>
      </c>
      <c r="Q10" s="117">
        <v>272394</v>
      </c>
      <c r="R10" s="1">
        <v>300544</v>
      </c>
      <c r="S10" s="1">
        <v>326500</v>
      </c>
      <c r="T10" s="1">
        <v>426226</v>
      </c>
      <c r="U10" s="1">
        <v>425932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>
        <v>229274</v>
      </c>
      <c r="Q11" s="117">
        <v>263434</v>
      </c>
      <c r="R11" s="1">
        <v>270628</v>
      </c>
      <c r="S11" s="1">
        <v>336024</v>
      </c>
      <c r="T11" s="1">
        <v>419594</v>
      </c>
      <c r="U11" s="1">
        <v>445466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>
        <v>276436</v>
      </c>
      <c r="Q12" s="117">
        <v>309019</v>
      </c>
      <c r="R12" s="1">
        <v>351605</v>
      </c>
      <c r="S12" s="1">
        <v>348513</v>
      </c>
      <c r="T12" s="1">
        <v>406083</v>
      </c>
      <c r="U12" s="1">
        <v>391933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>
        <v>258363</v>
      </c>
      <c r="Q13" s="117">
        <v>277098</v>
      </c>
      <c r="R13" s="2">
        <v>280292</v>
      </c>
      <c r="S13" s="1">
        <v>308385</v>
      </c>
      <c r="T13" s="1">
        <v>382475</v>
      </c>
      <c r="U13" s="1">
        <v>396048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>
        <v>241187</v>
      </c>
      <c r="Q14" s="117">
        <v>266929</v>
      </c>
      <c r="R14" s="1">
        <v>290284</v>
      </c>
      <c r="S14" s="1">
        <v>335977</v>
      </c>
      <c r="T14" s="1">
        <v>383750</v>
      </c>
      <c r="U14" s="1">
        <v>415172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>
        <v>245512</v>
      </c>
      <c r="Q15" s="117">
        <v>250510</v>
      </c>
      <c r="R15" s="1">
        <v>274066</v>
      </c>
      <c r="S15" s="1">
        <v>304580</v>
      </c>
      <c r="T15" s="1">
        <v>364862</v>
      </c>
      <c r="U15" s="1">
        <v>379910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>
        <v>252195</v>
      </c>
      <c r="Q16" s="95">
        <v>259400</v>
      </c>
      <c r="R16" s="1">
        <v>272994</v>
      </c>
      <c r="S16" s="1">
        <v>294624</v>
      </c>
      <c r="T16" s="1">
        <v>402059</v>
      </c>
      <c r="U16" s="1">
        <v>376365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1925178</v>
      </c>
      <c r="Q17" s="96">
        <f>SUM(Q5:Q16)</f>
        <v>3008505</v>
      </c>
      <c r="R17" s="126">
        <f t="shared" ref="R17" si="0">SUM(R5:R16)</f>
        <v>3222895</v>
      </c>
      <c r="S17" s="126">
        <f>SUM(S5:S16)</f>
        <v>3731121</v>
      </c>
      <c r="T17" s="126">
        <f t="shared" ref="T17" si="1">SUM(T5:T16)</f>
        <v>4278854</v>
      </c>
      <c r="U17" s="126">
        <f>SUM(U5:U16)</f>
        <v>4459802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348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>
        <v>11521</v>
      </c>
      <c r="R24" s="1">
        <v>25960</v>
      </c>
      <c r="S24" s="1">
        <v>20657</v>
      </c>
      <c r="T24" s="1">
        <v>14785</v>
      </c>
      <c r="U24" s="1">
        <v>18471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>
        <v>9250</v>
      </c>
      <c r="R25" s="1">
        <v>20471</v>
      </c>
      <c r="S25" s="1">
        <v>8139</v>
      </c>
      <c r="T25" s="1">
        <v>13036</v>
      </c>
      <c r="U25" s="1">
        <v>27358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>
        <v>9346</v>
      </c>
      <c r="R26" s="1">
        <v>9687</v>
      </c>
      <c r="S26" s="1">
        <v>7572</v>
      </c>
      <c r="T26" s="1">
        <v>16257</v>
      </c>
      <c r="U26" s="1">
        <v>14237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>
        <v>0</v>
      </c>
      <c r="Q27" s="117">
        <v>10635</v>
      </c>
      <c r="R27" s="117">
        <v>16244</v>
      </c>
      <c r="S27" s="1">
        <v>11939</v>
      </c>
      <c r="T27" s="1">
        <v>19320</v>
      </c>
      <c r="U27" s="1">
        <v>16272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>
        <v>7519</v>
      </c>
      <c r="Q28" s="117">
        <v>13445</v>
      </c>
      <c r="R28" s="1">
        <v>9172</v>
      </c>
      <c r="S28" s="1">
        <v>12094</v>
      </c>
      <c r="T28" s="1">
        <v>19474</v>
      </c>
      <c r="U28" s="1">
        <v>16461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>
        <v>10818</v>
      </c>
      <c r="Q29" s="117">
        <v>8780</v>
      </c>
      <c r="R29" s="1">
        <v>13522</v>
      </c>
      <c r="S29" s="1">
        <v>11250</v>
      </c>
      <c r="T29" s="1">
        <v>19326</v>
      </c>
      <c r="U29" s="1">
        <v>16886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>
        <v>11333</v>
      </c>
      <c r="Q30" s="117">
        <v>11320</v>
      </c>
      <c r="R30" s="1">
        <v>12311</v>
      </c>
      <c r="S30" s="1">
        <v>16644</v>
      </c>
      <c r="T30" s="1">
        <v>26296</v>
      </c>
      <c r="U30" s="1">
        <v>25126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>
        <v>15249</v>
      </c>
      <c r="Q31" s="117">
        <v>13662</v>
      </c>
      <c r="R31" s="1">
        <v>17052</v>
      </c>
      <c r="S31" s="1">
        <v>14030</v>
      </c>
      <c r="T31" s="1">
        <v>30123</v>
      </c>
      <c r="U31" s="1">
        <v>26589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>
        <v>19685</v>
      </c>
      <c r="Q32" s="117">
        <v>24095</v>
      </c>
      <c r="R32" s="2">
        <v>12901</v>
      </c>
      <c r="S32" s="1">
        <v>16097</v>
      </c>
      <c r="T32" s="1">
        <v>24347</v>
      </c>
      <c r="U32" s="1">
        <v>19537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>
        <v>18332</v>
      </c>
      <c r="Q33" s="117">
        <v>18038</v>
      </c>
      <c r="R33" s="1">
        <v>31730</v>
      </c>
      <c r="S33" s="1">
        <v>15296</v>
      </c>
      <c r="T33" s="1">
        <v>23990</v>
      </c>
      <c r="U33" s="1">
        <v>22890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>
        <v>10553</v>
      </c>
      <c r="Q34" s="117">
        <v>20903</v>
      </c>
      <c r="R34" s="1">
        <v>14476</v>
      </c>
      <c r="S34" s="1">
        <v>18931</v>
      </c>
      <c r="T34" s="1">
        <v>29853</v>
      </c>
      <c r="U34" s="1">
        <v>22844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>
        <v>10140</v>
      </c>
      <c r="Q35" s="95">
        <v>9395</v>
      </c>
      <c r="R35" s="1">
        <v>13274</v>
      </c>
      <c r="S35" s="1">
        <v>15861</v>
      </c>
      <c r="T35" s="1">
        <v>17266</v>
      </c>
      <c r="U35" s="1">
        <v>20040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103629</v>
      </c>
      <c r="Q36" s="96">
        <f>SUM(Q24:Q35)</f>
        <v>160390</v>
      </c>
      <c r="R36" s="126">
        <f t="shared" ref="R36" si="2">SUM(R24:R35)</f>
        <v>196800</v>
      </c>
      <c r="S36" s="126">
        <f>SUM(S24:S35)</f>
        <v>168510</v>
      </c>
      <c r="T36" s="126">
        <f t="shared" ref="T36" si="3">SUM(T24:T35)</f>
        <v>254073</v>
      </c>
      <c r="U36" s="126">
        <f>SUM(U24:U35)</f>
        <v>246711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>
        <v>0</v>
      </c>
      <c r="R42" s="117">
        <v>-5082</v>
      </c>
      <c r="S42" s="1">
        <v>-2341</v>
      </c>
      <c r="T42" s="1">
        <v>-5428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>
        <v>-1650</v>
      </c>
      <c r="R43" s="113">
        <v>0</v>
      </c>
      <c r="S43" s="1">
        <v>-472</v>
      </c>
      <c r="T43" s="1">
        <v>0</v>
      </c>
      <c r="U43" s="1">
        <v>-1200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>
        <v>-15</v>
      </c>
      <c r="R44" s="117">
        <v>-47</v>
      </c>
      <c r="S44" s="1">
        <v>-4675</v>
      </c>
      <c r="T44" s="1">
        <v>-4785</v>
      </c>
      <c r="U44" s="1">
        <v>-15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>
        <v>0</v>
      </c>
      <c r="Q45" s="117">
        <v>-1</v>
      </c>
      <c r="R45" s="151">
        <v>-87</v>
      </c>
      <c r="S45" s="1">
        <v>-296</v>
      </c>
      <c r="T45" s="1">
        <v>-4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>
        <v>0</v>
      </c>
      <c r="Q46" s="117">
        <v>0</v>
      </c>
      <c r="R46" s="1">
        <v>-5110</v>
      </c>
      <c r="S46" s="117">
        <v>0</v>
      </c>
      <c r="T46" s="1">
        <v>-15</v>
      </c>
      <c r="U46" s="1">
        <v>-1706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>
        <v>0</v>
      </c>
      <c r="Q47" s="117">
        <v>-7</v>
      </c>
      <c r="R47" s="1">
        <v>-198</v>
      </c>
      <c r="S47" s="1">
        <v>-2227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>
        <v>0</v>
      </c>
      <c r="Q48" s="117">
        <v>0</v>
      </c>
      <c r="R48" s="1">
        <v>-283</v>
      </c>
      <c r="S48" s="1">
        <v>-1161</v>
      </c>
      <c r="T48" s="1">
        <v>-133</v>
      </c>
      <c r="U48" s="1">
        <v>-15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>
        <v>0</v>
      </c>
      <c r="Q49" s="117">
        <v>-1142</v>
      </c>
      <c r="R49" s="117">
        <v>-33</v>
      </c>
      <c r="S49" s="117">
        <v>-6</v>
      </c>
      <c r="T49" s="1">
        <v>-2098</v>
      </c>
      <c r="U49" s="1">
        <v>-5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>
        <v>0</v>
      </c>
      <c r="Q50" s="117">
        <v>0</v>
      </c>
      <c r="R50" s="117">
        <v>-101</v>
      </c>
      <c r="S50" s="117">
        <v>0</v>
      </c>
      <c r="T50" s="1">
        <v>-11</v>
      </c>
      <c r="U50" s="1">
        <v>-468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>
        <v>0</v>
      </c>
      <c r="Q51" s="117">
        <v>0</v>
      </c>
      <c r="R51" s="117">
        <v>-408</v>
      </c>
      <c r="S51" s="117">
        <v>-388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>
        <v>0</v>
      </c>
      <c r="Q52" s="117">
        <v>0</v>
      </c>
      <c r="R52" s="117">
        <v>-60</v>
      </c>
      <c r="S52" s="117">
        <v>-60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>
        <v>-21</v>
      </c>
      <c r="Q53" s="168">
        <v>0</v>
      </c>
      <c r="R53" s="168">
        <v>-34</v>
      </c>
      <c r="S53" s="182">
        <v>-82</v>
      </c>
      <c r="T53" s="1">
        <v>-73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-21</v>
      </c>
      <c r="Q54" s="96">
        <f>SUM(Q42:Q53)</f>
        <v>-2815</v>
      </c>
      <c r="R54" s="126">
        <f t="shared" ref="R54" si="4">SUM(R42:R53)</f>
        <v>-11443</v>
      </c>
      <c r="S54" s="126">
        <f>SUM(S42:S53)</f>
        <v>-11708</v>
      </c>
      <c r="T54" s="126">
        <f t="shared" ref="T54" si="5">SUM(T42:T53)</f>
        <v>-12547</v>
      </c>
      <c r="U54" s="126">
        <f>SUM(U42:U53)</f>
        <v>-3409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348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/>
      <c r="Q60" s="117">
        <v>8660</v>
      </c>
      <c r="R60" s="117">
        <v>5860</v>
      </c>
      <c r="S60" s="1">
        <v>7480</v>
      </c>
      <c r="T60" s="1">
        <v>5480</v>
      </c>
      <c r="U60" s="1">
        <v>5100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/>
      <c r="Q61" s="117">
        <v>3160</v>
      </c>
      <c r="R61" s="113">
        <v>7300</v>
      </c>
      <c r="S61" s="1">
        <v>5280</v>
      </c>
      <c r="T61" s="1">
        <v>4880</v>
      </c>
      <c r="U61" s="1">
        <v>4720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/>
      <c r="Q62" s="117">
        <v>2780</v>
      </c>
      <c r="R62" s="113">
        <v>5980</v>
      </c>
      <c r="S62" s="1">
        <v>5940</v>
      </c>
      <c r="T62" s="1">
        <v>6800</v>
      </c>
      <c r="U62" s="1">
        <v>5200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>
        <v>0</v>
      </c>
      <c r="Q63" s="117">
        <v>4640</v>
      </c>
      <c r="R63" s="117">
        <v>5380</v>
      </c>
      <c r="S63" s="1">
        <v>8540</v>
      </c>
      <c r="T63" s="1">
        <v>6120</v>
      </c>
      <c r="U63" s="1">
        <v>6480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>
        <v>3200</v>
      </c>
      <c r="Q64" s="117">
        <v>3740</v>
      </c>
      <c r="R64" s="117">
        <v>5160</v>
      </c>
      <c r="S64" s="1">
        <v>5520</v>
      </c>
      <c r="T64" s="1">
        <v>4920</v>
      </c>
      <c r="U64" s="1">
        <v>5860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>
        <v>4560</v>
      </c>
      <c r="Q65" s="117">
        <v>3940</v>
      </c>
      <c r="R65" s="113">
        <v>7160</v>
      </c>
      <c r="S65" s="1">
        <v>6840</v>
      </c>
      <c r="T65" s="1">
        <v>4920</v>
      </c>
      <c r="U65" s="1">
        <v>5940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>
        <v>4600</v>
      </c>
      <c r="Q66" s="117">
        <v>3560</v>
      </c>
      <c r="R66" s="1">
        <v>9180</v>
      </c>
      <c r="S66" s="1">
        <v>8320</v>
      </c>
      <c r="T66" s="1">
        <v>6380</v>
      </c>
      <c r="U66" s="1">
        <v>6360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>
        <v>4860</v>
      </c>
      <c r="Q67" s="117">
        <v>5040</v>
      </c>
      <c r="R67" s="1">
        <v>7820</v>
      </c>
      <c r="S67" s="1">
        <v>5980</v>
      </c>
      <c r="T67" s="1">
        <v>5060</v>
      </c>
      <c r="U67" s="1">
        <v>5220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>
        <v>5940</v>
      </c>
      <c r="Q68" s="117">
        <v>5040</v>
      </c>
      <c r="R68" s="2">
        <v>6980</v>
      </c>
      <c r="S68" s="1">
        <v>6200</v>
      </c>
      <c r="T68" s="1">
        <v>6640</v>
      </c>
      <c r="U68" s="1">
        <v>5320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>
        <v>4940</v>
      </c>
      <c r="Q69" s="117">
        <v>3800</v>
      </c>
      <c r="R69" s="1">
        <v>7260</v>
      </c>
      <c r="S69" s="117">
        <v>6060</v>
      </c>
      <c r="T69" s="1">
        <v>5980</v>
      </c>
      <c r="U69" s="1">
        <v>5800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/>
      <c r="P70" s="117">
        <v>3860</v>
      </c>
      <c r="Q70" s="117">
        <v>1300</v>
      </c>
      <c r="R70" s="1">
        <v>6380</v>
      </c>
      <c r="S70" s="1">
        <v>4460</v>
      </c>
      <c r="T70" s="1">
        <v>5040</v>
      </c>
      <c r="U70" s="1">
        <v>4700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/>
      <c r="P71" s="95">
        <v>3940</v>
      </c>
      <c r="Q71" s="95">
        <v>5200</v>
      </c>
      <c r="R71" s="1">
        <v>5240</v>
      </c>
      <c r="S71" s="1">
        <v>4400</v>
      </c>
      <c r="T71" s="1">
        <v>5500</v>
      </c>
      <c r="U71" s="1">
        <v>5740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/>
      <c r="O72" s="96"/>
      <c r="P72" s="96">
        <f>SUM(P60:P71)</f>
        <v>35900</v>
      </c>
      <c r="Q72" s="96">
        <f>SUM(Q60:Q71)</f>
        <v>50860</v>
      </c>
      <c r="R72" s="126">
        <f>SUM(R60:R71)</f>
        <v>79700</v>
      </c>
      <c r="S72" s="126">
        <f>SUM(S60:S71)</f>
        <v>75020</v>
      </c>
      <c r="T72" s="126">
        <f t="shared" ref="T72" si="6">SUM(T60:T71)</f>
        <v>67720</v>
      </c>
      <c r="U72" s="126">
        <f>SUM(U60:U71)</f>
        <v>66440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</cols>
  <sheetData>
    <row r="1" spans="1:21" x14ac:dyDescent="0.2">
      <c r="A1" s="121" t="s">
        <v>357</v>
      </c>
    </row>
    <row r="2" spans="1:21" x14ac:dyDescent="0.2">
      <c r="A2" s="24" t="s">
        <v>84</v>
      </c>
      <c r="B2" s="6">
        <v>5.0000000000000001E-3</v>
      </c>
      <c r="D2" s="94" t="s">
        <v>355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>
        <v>0</v>
      </c>
      <c r="R5" s="117">
        <v>82075</v>
      </c>
      <c r="S5" s="1">
        <v>93388</v>
      </c>
      <c r="T5" s="1">
        <v>104183</v>
      </c>
      <c r="U5" s="1">
        <v>101843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>
        <v>45005</v>
      </c>
      <c r="R6" s="1">
        <v>68911</v>
      </c>
      <c r="S6" s="1">
        <v>69161</v>
      </c>
      <c r="T6" s="1">
        <v>73959</v>
      </c>
      <c r="U6" s="1">
        <v>77198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>
        <v>48508</v>
      </c>
      <c r="R7" s="1">
        <v>60021</v>
      </c>
      <c r="S7" s="1">
        <v>64764</v>
      </c>
      <c r="T7" s="1">
        <v>74593</v>
      </c>
      <c r="U7" s="1">
        <v>72991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>
        <v>60209</v>
      </c>
      <c r="R8" s="1">
        <v>72532</v>
      </c>
      <c r="S8" s="1">
        <v>86534</v>
      </c>
      <c r="T8" s="1">
        <v>123694</v>
      </c>
      <c r="U8" s="1">
        <v>94214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>
        <v>61958</v>
      </c>
      <c r="R9" s="1">
        <v>102119</v>
      </c>
      <c r="S9" s="1">
        <v>89668</v>
      </c>
      <c r="T9" s="1">
        <v>112491</v>
      </c>
      <c r="U9" s="1">
        <v>78858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>
        <v>68935</v>
      </c>
      <c r="R10" s="1">
        <v>80232</v>
      </c>
      <c r="S10" s="1">
        <v>90093</v>
      </c>
      <c r="T10" s="1">
        <v>89626</v>
      </c>
      <c r="U10" s="1">
        <v>91087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78491</v>
      </c>
      <c r="R11" s="1">
        <v>83253</v>
      </c>
      <c r="S11" s="1">
        <v>99768</v>
      </c>
      <c r="T11" s="1">
        <v>88455</v>
      </c>
      <c r="U11" s="1">
        <v>102717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86680</v>
      </c>
      <c r="R12" s="1">
        <v>112679</v>
      </c>
      <c r="S12" s="1">
        <v>88217</v>
      </c>
      <c r="T12" s="1">
        <v>84686</v>
      </c>
      <c r="U12" s="1">
        <v>86388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76985</v>
      </c>
      <c r="R13" s="2">
        <v>76588</v>
      </c>
      <c r="S13" s="1">
        <v>90602</v>
      </c>
      <c r="T13" s="1">
        <v>98904</v>
      </c>
      <c r="U13" s="1">
        <v>122098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78659</v>
      </c>
      <c r="R14" s="1">
        <v>85032</v>
      </c>
      <c r="S14" s="1">
        <v>105491</v>
      </c>
      <c r="T14" s="1">
        <v>90357</v>
      </c>
      <c r="U14" s="1">
        <v>104379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76399</v>
      </c>
      <c r="R15" s="1">
        <v>87677</v>
      </c>
      <c r="S15" s="1">
        <v>88339</v>
      </c>
      <c r="T15" s="1">
        <v>101784</v>
      </c>
      <c r="U15" s="1">
        <v>103745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68586</v>
      </c>
      <c r="R16" s="1">
        <v>82421</v>
      </c>
      <c r="S16" s="1">
        <v>90469</v>
      </c>
      <c r="T16" s="1">
        <v>96459</v>
      </c>
      <c r="U16" s="1">
        <v>104821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750415</v>
      </c>
      <c r="R17" s="126">
        <f t="shared" ref="R17" si="0">SUM(R5:R16)</f>
        <v>993540</v>
      </c>
      <c r="S17" s="126">
        <f>SUM(S5:S16)</f>
        <v>1056494</v>
      </c>
      <c r="T17" s="126">
        <f t="shared" ref="T17" si="1">SUM(T5:T16)</f>
        <v>1139191</v>
      </c>
      <c r="U17" s="126">
        <f>SUM(U5:U16)</f>
        <v>1140339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355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>
        <v>0</v>
      </c>
      <c r="R24" s="117">
        <v>6597</v>
      </c>
      <c r="S24" s="1">
        <v>14763</v>
      </c>
      <c r="T24" s="1">
        <v>5734</v>
      </c>
      <c r="U24" s="1">
        <v>5927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>
        <v>1488</v>
      </c>
      <c r="R25" s="113">
        <v>3874</v>
      </c>
      <c r="S25" s="1">
        <v>-6382</v>
      </c>
      <c r="T25" s="1">
        <v>3842</v>
      </c>
      <c r="U25" s="1">
        <v>6622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>
        <v>928</v>
      </c>
      <c r="R26" s="113">
        <v>2082</v>
      </c>
      <c r="S26" s="1">
        <v>1669</v>
      </c>
      <c r="T26" s="1">
        <v>5594</v>
      </c>
      <c r="U26" s="1">
        <v>3730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>
        <v>2440</v>
      </c>
      <c r="R27" s="117">
        <v>3677</v>
      </c>
      <c r="S27" s="1">
        <v>4280</v>
      </c>
      <c r="T27" s="1">
        <v>8003</v>
      </c>
      <c r="U27" s="1">
        <v>4970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>
        <v>1741</v>
      </c>
      <c r="R28" s="1">
        <v>2681</v>
      </c>
      <c r="S28" s="1">
        <v>2944</v>
      </c>
      <c r="T28" s="1">
        <v>3935</v>
      </c>
      <c r="U28" s="1">
        <v>4663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>
        <v>2428</v>
      </c>
      <c r="R29" s="113">
        <v>3340</v>
      </c>
      <c r="S29" s="1">
        <v>2309</v>
      </c>
      <c r="T29" s="1">
        <v>3693</v>
      </c>
      <c r="U29" s="1">
        <v>3871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3619</v>
      </c>
      <c r="R30" s="1">
        <v>3282</v>
      </c>
      <c r="S30" s="1">
        <v>3019</v>
      </c>
      <c r="T30" s="1">
        <v>4097</v>
      </c>
      <c r="U30" s="1">
        <v>5872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3523</v>
      </c>
      <c r="R31" s="1">
        <v>2269</v>
      </c>
      <c r="S31" s="1">
        <v>3096</v>
      </c>
      <c r="T31" s="1">
        <v>3851</v>
      </c>
      <c r="U31" s="1">
        <v>4327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2645</v>
      </c>
      <c r="R32" s="2">
        <v>1669</v>
      </c>
      <c r="S32" s="1">
        <v>2477</v>
      </c>
      <c r="T32" s="1">
        <v>6167</v>
      </c>
      <c r="U32" s="1">
        <v>8891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5235</v>
      </c>
      <c r="R33" s="1">
        <v>3676</v>
      </c>
      <c r="S33" s="1">
        <v>3778</v>
      </c>
      <c r="T33" s="1">
        <v>4467</v>
      </c>
      <c r="U33" s="1">
        <v>4873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3517</v>
      </c>
      <c r="R34" s="1">
        <v>2710</v>
      </c>
      <c r="S34" s="1">
        <v>4487</v>
      </c>
      <c r="T34" s="1">
        <v>4451</v>
      </c>
      <c r="U34" s="1">
        <v>4616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2863</v>
      </c>
      <c r="R35" s="1">
        <v>4832</v>
      </c>
      <c r="S35" s="1">
        <v>3567</v>
      </c>
      <c r="T35" s="1">
        <v>5245</v>
      </c>
      <c r="U35" s="1">
        <v>4247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30427</v>
      </c>
      <c r="R36" s="126">
        <f t="shared" ref="R36" si="2">SUM(R24:R35)</f>
        <v>40689</v>
      </c>
      <c r="S36" s="126">
        <f>SUM(S24:S35)</f>
        <v>40007</v>
      </c>
      <c r="T36" s="126">
        <f t="shared" ref="T36" si="3">SUM(T24:T35)</f>
        <v>59079</v>
      </c>
      <c r="U36" s="126">
        <f>SUM(U24:U35)</f>
        <v>62609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>
        <v>0</v>
      </c>
      <c r="R42" s="117">
        <v>0</v>
      </c>
      <c r="S42" s="117">
        <v>0</v>
      </c>
      <c r="T42" s="1">
        <v>-2766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>
        <v>0</v>
      </c>
      <c r="R43" s="1">
        <v>-4766</v>
      </c>
      <c r="S43" s="1">
        <v>-8199</v>
      </c>
      <c r="T43" s="1">
        <v>-49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>
        <v>0</v>
      </c>
      <c r="R44" s="117">
        <v>0</v>
      </c>
      <c r="S44" s="117">
        <v>0</v>
      </c>
      <c r="T44" s="1">
        <v>0</v>
      </c>
      <c r="U44" s="1">
        <v>-1593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>
        <v>0</v>
      </c>
      <c r="R45" s="117">
        <v>0</v>
      </c>
      <c r="S45" s="117">
        <v>-497</v>
      </c>
      <c r="T45" s="1">
        <v>0</v>
      </c>
      <c r="U45" s="1">
        <v>-13027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>
        <v>0</v>
      </c>
      <c r="R46" s="1">
        <v>-7734</v>
      </c>
      <c r="S46" s="1">
        <v>-1158</v>
      </c>
      <c r="T46" s="1">
        <v>-14</v>
      </c>
      <c r="U46" s="1">
        <v>-139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>
        <v>0</v>
      </c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0</v>
      </c>
      <c r="R48" s="117">
        <v>0</v>
      </c>
      <c r="S48" s="117">
        <v>0</v>
      </c>
      <c r="T48" s="1">
        <v>-278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0</v>
      </c>
      <c r="R49" s="1">
        <v>-3735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17">
        <v>0</v>
      </c>
      <c r="T50" s="1">
        <v>0</v>
      </c>
      <c r="U50" s="1">
        <v>-5728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">
        <v>-29458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-766</v>
      </c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-162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-766</v>
      </c>
      <c r="R54" s="126">
        <f t="shared" ref="R54" si="4">SUM(R42:R53)</f>
        <v>-45855</v>
      </c>
      <c r="S54" s="126">
        <f>SUM(S42:S53)</f>
        <v>-9854</v>
      </c>
      <c r="T54" s="126">
        <f t="shared" ref="T54" si="5">SUM(T42:T53)</f>
        <v>-3107</v>
      </c>
      <c r="U54" s="126">
        <f>SUM(U42:U53)</f>
        <v>-20487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354</v>
      </c>
    </row>
    <row r="2" spans="1:21" x14ac:dyDescent="0.2">
      <c r="A2" s="24" t="s">
        <v>84</v>
      </c>
      <c r="B2" s="6">
        <v>5.0000000000000001E-3</v>
      </c>
      <c r="D2" s="94" t="s">
        <v>355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>
        <v>1</v>
      </c>
      <c r="R5" s="1">
        <v>277480</v>
      </c>
      <c r="S5" s="1">
        <v>310191</v>
      </c>
      <c r="T5" s="1">
        <v>341943</v>
      </c>
      <c r="U5" s="1">
        <v>363583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>
        <v>198838</v>
      </c>
      <c r="R6" s="1">
        <v>222678</v>
      </c>
      <c r="S6" s="1">
        <v>244478</v>
      </c>
      <c r="T6" s="1">
        <v>267509</v>
      </c>
      <c r="U6" s="1">
        <v>274040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>
        <v>181143</v>
      </c>
      <c r="R7" s="1">
        <v>199554</v>
      </c>
      <c r="S7" s="1">
        <v>234190</v>
      </c>
      <c r="T7" s="1">
        <v>248423</v>
      </c>
      <c r="U7" s="1">
        <v>263502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>
        <v>228459</v>
      </c>
      <c r="R8" s="1">
        <v>232379</v>
      </c>
      <c r="S8" s="1">
        <v>315114</v>
      </c>
      <c r="T8" s="1">
        <v>313843</v>
      </c>
      <c r="U8" s="1">
        <v>326360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>
        <v>245895</v>
      </c>
      <c r="R9" s="1">
        <v>243687</v>
      </c>
      <c r="S9" s="1">
        <v>291545</v>
      </c>
      <c r="T9" s="1">
        <v>290755</v>
      </c>
      <c r="U9" s="1">
        <v>328372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>
        <v>292220</v>
      </c>
      <c r="R10" s="1">
        <v>283623</v>
      </c>
      <c r="S10" s="1">
        <v>312221</v>
      </c>
      <c r="T10" s="1">
        <v>394766</v>
      </c>
      <c r="U10" s="1">
        <v>378189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272049</v>
      </c>
      <c r="R11" s="1">
        <v>276482</v>
      </c>
      <c r="S11" s="1">
        <v>327315</v>
      </c>
      <c r="T11" s="1">
        <v>368338</v>
      </c>
      <c r="U11" s="1">
        <v>403401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296955</v>
      </c>
      <c r="R12" s="1">
        <v>318309</v>
      </c>
      <c r="S12" s="1">
        <v>319156</v>
      </c>
      <c r="T12" s="1">
        <v>349148</v>
      </c>
      <c r="U12" s="1">
        <v>346560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283049</v>
      </c>
      <c r="R13" s="2">
        <v>274062</v>
      </c>
      <c r="S13" s="1">
        <v>332953</v>
      </c>
      <c r="T13" s="1">
        <v>368134</v>
      </c>
      <c r="U13" s="1">
        <v>363933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272743</v>
      </c>
      <c r="R14" s="1">
        <v>283521</v>
      </c>
      <c r="S14" s="1">
        <v>335607</v>
      </c>
      <c r="T14" s="1">
        <v>351794</v>
      </c>
      <c r="U14" s="1">
        <v>362562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252300</v>
      </c>
      <c r="R15" s="1">
        <v>262934</v>
      </c>
      <c r="S15" s="1">
        <v>296517</v>
      </c>
      <c r="T15" s="1">
        <v>337701</v>
      </c>
      <c r="U15" s="1">
        <v>331658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237653</v>
      </c>
      <c r="R16" s="1">
        <v>263599</v>
      </c>
      <c r="S16" s="1">
        <v>315670</v>
      </c>
      <c r="T16" s="1">
        <v>358368</v>
      </c>
      <c r="U16" s="1">
        <v>335575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2761305</v>
      </c>
      <c r="R17" s="126">
        <f t="shared" ref="R17" si="0">SUM(R5:R16)</f>
        <v>3138308</v>
      </c>
      <c r="S17" s="126">
        <f>SUM(S5:S16)</f>
        <v>3634957</v>
      </c>
      <c r="T17" s="126">
        <f t="shared" ref="T17" si="1">SUM(T5:T16)</f>
        <v>3990722</v>
      </c>
      <c r="U17" s="126">
        <f>SUM(U5:U16)</f>
        <v>4077735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355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>
        <v>0</v>
      </c>
      <c r="R24" s="117">
        <v>33519</v>
      </c>
      <c r="S24" s="1">
        <v>28682</v>
      </c>
      <c r="T24" s="1">
        <v>36305</v>
      </c>
      <c r="U24" s="1">
        <v>42284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>
        <v>20444</v>
      </c>
      <c r="R25" s="113">
        <v>19076</v>
      </c>
      <c r="S25" s="1">
        <v>12029</v>
      </c>
      <c r="T25" s="1">
        <v>30430</v>
      </c>
      <c r="U25" s="1">
        <v>27775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>
        <v>25285</v>
      </c>
      <c r="R26" s="113">
        <v>14665</v>
      </c>
      <c r="S26" s="1">
        <v>16125</v>
      </c>
      <c r="T26" s="1">
        <v>19931</v>
      </c>
      <c r="U26" s="1">
        <v>24246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>
        <v>25309</v>
      </c>
      <c r="R27" s="117">
        <v>35845</v>
      </c>
      <c r="S27" s="1">
        <v>18370</v>
      </c>
      <c r="T27" s="1">
        <v>24994</v>
      </c>
      <c r="U27" s="1">
        <v>27783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>
        <v>28528</v>
      </c>
      <c r="R28" s="1">
        <v>14553</v>
      </c>
      <c r="S28" s="1">
        <v>54899</v>
      </c>
      <c r="T28" s="1">
        <v>20747</v>
      </c>
      <c r="U28" s="1">
        <v>29611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>
        <v>22122</v>
      </c>
      <c r="R29" s="113">
        <v>32977</v>
      </c>
      <c r="S29" s="1">
        <v>17656</v>
      </c>
      <c r="T29" s="1">
        <v>24841</v>
      </c>
      <c r="U29" s="1">
        <v>29050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11759</v>
      </c>
      <c r="R30" s="1">
        <v>13305</v>
      </c>
      <c r="S30" s="1">
        <v>22928</v>
      </c>
      <c r="T30" s="1">
        <v>46238</v>
      </c>
      <c r="U30" s="1">
        <v>37061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23020</v>
      </c>
      <c r="R31" s="1">
        <v>19395</v>
      </c>
      <c r="S31" s="1">
        <v>30400</v>
      </c>
      <c r="T31" s="1">
        <v>27420</v>
      </c>
      <c r="U31" s="1">
        <v>32736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19583</v>
      </c>
      <c r="R32" s="2">
        <v>23414</v>
      </c>
      <c r="S32" s="1">
        <v>18100</v>
      </c>
      <c r="T32" s="1">
        <v>25471</v>
      </c>
      <c r="U32" s="1">
        <v>33085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25212</v>
      </c>
      <c r="R33" s="1">
        <v>20757</v>
      </c>
      <c r="S33" s="1">
        <v>31552</v>
      </c>
      <c r="T33" s="1">
        <v>26587</v>
      </c>
      <c r="U33" s="1">
        <v>43001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22540</v>
      </c>
      <c r="R34" s="1">
        <v>22313</v>
      </c>
      <c r="S34" s="1">
        <v>49232</v>
      </c>
      <c r="T34" s="1">
        <v>24371</v>
      </c>
      <c r="U34" s="1">
        <v>36959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45304</v>
      </c>
      <c r="R35" s="1">
        <v>28306</v>
      </c>
      <c r="S35" s="1">
        <v>35672</v>
      </c>
      <c r="T35" s="1">
        <v>40732</v>
      </c>
      <c r="U35" s="1">
        <v>43801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269106</v>
      </c>
      <c r="R36" s="126">
        <f t="shared" ref="R36" si="2">SUM(R24:R35)</f>
        <v>278125</v>
      </c>
      <c r="S36" s="126">
        <f>SUM(S24:S35)</f>
        <v>335645</v>
      </c>
      <c r="T36" s="126">
        <f t="shared" ref="T36" si="3">SUM(T24:T35)</f>
        <v>348067</v>
      </c>
      <c r="U36" s="126">
        <f>SUM(U24:U35)</f>
        <v>407392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>
        <v>0</v>
      </c>
      <c r="R42" s="117">
        <v>0</v>
      </c>
      <c r="S42" s="117">
        <v>0</v>
      </c>
      <c r="T42" s="1">
        <v>-299</v>
      </c>
      <c r="U42" s="1">
        <v>-850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>
        <v>0</v>
      </c>
      <c r="R43" s="117">
        <v>-2</v>
      </c>
      <c r="S43" s="117">
        <v>0</v>
      </c>
      <c r="T43" s="1">
        <v>0</v>
      </c>
      <c r="U43" s="1">
        <v>-8441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>
        <v>0</v>
      </c>
      <c r="R44" s="117">
        <v>-44</v>
      </c>
      <c r="S44" s="117">
        <v>-223</v>
      </c>
      <c r="T44" s="1">
        <v>-271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>
        <v>0</v>
      </c>
      <c r="R45" s="117">
        <v>-189</v>
      </c>
      <c r="S45" s="117">
        <v>0</v>
      </c>
      <c r="T45" s="1">
        <v>-1049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>
        <v>0</v>
      </c>
      <c r="R46" s="117">
        <v>-2</v>
      </c>
      <c r="S46" s="117">
        <v>0</v>
      </c>
      <c r="T46" s="1">
        <v>-68</v>
      </c>
      <c r="U46" s="1">
        <v>-397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>
        <v>-212</v>
      </c>
      <c r="R47" s="1">
        <v>-43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0</v>
      </c>
      <c r="R48" s="1">
        <v>-1</v>
      </c>
      <c r="S48" s="117">
        <v>0</v>
      </c>
      <c r="T48" s="1">
        <v>-1192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0</v>
      </c>
      <c r="R49" s="117">
        <v>-189</v>
      </c>
      <c r="S49" s="1">
        <v>-1587</v>
      </c>
      <c r="T49" s="1">
        <v>-3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17">
        <v>0</v>
      </c>
      <c r="T50" s="1">
        <v>0</v>
      </c>
      <c r="U50" s="1">
        <v>-8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-2540</v>
      </c>
      <c r="U51" s="1">
        <v>-258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-30</v>
      </c>
      <c r="T52" s="1">
        <v>-1555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-166</v>
      </c>
      <c r="S53" s="182">
        <v>0</v>
      </c>
      <c r="T53" s="1">
        <v>0</v>
      </c>
      <c r="U53" s="1">
        <v>-42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-212</v>
      </c>
      <c r="R54" s="126">
        <f t="shared" ref="R54" si="4">SUM(R42:R53)</f>
        <v>-636</v>
      </c>
      <c r="S54" s="126">
        <f>SUM(S42:S53)</f>
        <v>-1840</v>
      </c>
      <c r="T54" s="126">
        <f t="shared" ref="T54" si="5">SUM(T42:T53)</f>
        <v>-6977</v>
      </c>
      <c r="U54" s="126">
        <f>SUM(U42:U53)</f>
        <v>-9996</v>
      </c>
    </row>
    <row r="55" spans="1:21" x14ac:dyDescent="0.2">
      <c r="F55" s="2"/>
    </row>
    <row r="56" spans="1:21" x14ac:dyDescent="0.2">
      <c r="F56" s="2"/>
    </row>
    <row r="57" spans="1:21" x14ac:dyDescent="0.2">
      <c r="A57" s="24" t="s">
        <v>148</v>
      </c>
      <c r="B57" s="99">
        <v>20</v>
      </c>
      <c r="D57" s="94" t="s">
        <v>355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/>
      <c r="Q60" s="117">
        <v>0</v>
      </c>
      <c r="R60" s="117">
        <v>13160</v>
      </c>
      <c r="S60" s="1">
        <v>9060</v>
      </c>
      <c r="T60" s="1">
        <v>10460</v>
      </c>
      <c r="U60" s="1">
        <v>13760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/>
      <c r="Q61" s="117">
        <v>5380</v>
      </c>
      <c r="R61" s="113">
        <v>6080</v>
      </c>
      <c r="S61" s="1">
        <v>9680</v>
      </c>
      <c r="T61" s="1">
        <v>7740</v>
      </c>
      <c r="U61" s="1">
        <v>7800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/>
      <c r="Q62" s="117">
        <v>5960</v>
      </c>
      <c r="R62" s="113">
        <v>7720</v>
      </c>
      <c r="S62" s="1">
        <v>10760</v>
      </c>
      <c r="T62" s="1">
        <v>11340</v>
      </c>
      <c r="U62" s="1">
        <v>8280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/>
      <c r="Q63" s="117">
        <v>10460</v>
      </c>
      <c r="R63" s="117">
        <v>10240</v>
      </c>
      <c r="S63" s="1">
        <v>12520</v>
      </c>
      <c r="T63" s="1">
        <v>11720</v>
      </c>
      <c r="U63" s="1">
        <v>9880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/>
      <c r="Q64" s="117">
        <v>7400</v>
      </c>
      <c r="R64" s="117">
        <v>4760</v>
      </c>
      <c r="S64" s="1">
        <v>12460</v>
      </c>
      <c r="T64" s="1">
        <v>8880</v>
      </c>
      <c r="U64" s="1">
        <v>8900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/>
      <c r="Q65" s="117">
        <v>6980</v>
      </c>
      <c r="R65" s="113">
        <v>7340</v>
      </c>
      <c r="S65" s="1">
        <v>10300</v>
      </c>
      <c r="T65" s="1">
        <v>10340</v>
      </c>
      <c r="U65" s="1">
        <v>9460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/>
      <c r="Q66" s="117">
        <v>9500</v>
      </c>
      <c r="R66" s="1">
        <v>18040</v>
      </c>
      <c r="S66" s="1">
        <v>11100</v>
      </c>
      <c r="T66" s="1">
        <v>10840</v>
      </c>
      <c r="U66" s="1">
        <v>11640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/>
      <c r="Q67" s="117">
        <v>6860</v>
      </c>
      <c r="R67" s="1">
        <v>8020</v>
      </c>
      <c r="S67" s="1">
        <v>9980</v>
      </c>
      <c r="T67" s="1">
        <v>8900</v>
      </c>
      <c r="U67" s="1">
        <v>8020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/>
      <c r="Q68" s="117">
        <v>7980</v>
      </c>
      <c r="R68" s="2">
        <v>8260</v>
      </c>
      <c r="S68" s="1">
        <v>10100</v>
      </c>
      <c r="T68" s="1">
        <v>10000</v>
      </c>
      <c r="U68" s="1">
        <v>9760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/>
      <c r="Q69" s="117">
        <v>13260</v>
      </c>
      <c r="R69" s="1">
        <v>11720</v>
      </c>
      <c r="S69" s="117">
        <v>9980</v>
      </c>
      <c r="T69" s="1">
        <v>8380</v>
      </c>
      <c r="U69" s="1">
        <v>8440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/>
      <c r="P70" s="117"/>
      <c r="Q70" s="117">
        <v>7440</v>
      </c>
      <c r="R70" s="117">
        <v>8660</v>
      </c>
      <c r="S70" s="117">
        <v>8900</v>
      </c>
      <c r="T70" s="1">
        <v>8500</v>
      </c>
      <c r="U70" s="1">
        <v>7260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/>
      <c r="P71" s="95"/>
      <c r="Q71" s="95">
        <v>7560</v>
      </c>
      <c r="R71" s="1">
        <v>6560</v>
      </c>
      <c r="S71" s="1">
        <v>9480</v>
      </c>
      <c r="T71" s="1">
        <v>6680</v>
      </c>
      <c r="U71" s="1">
        <v>6600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/>
      <c r="O72" s="96"/>
      <c r="P72" s="96">
        <f>SUM(P60:P71)</f>
        <v>0</v>
      </c>
      <c r="Q72" s="96">
        <f>SUM(Q60:Q71)</f>
        <v>88780</v>
      </c>
      <c r="R72" s="126">
        <f t="shared" ref="R72" si="6">SUM(R60:R71)</f>
        <v>110560</v>
      </c>
      <c r="S72" s="126">
        <f>SUM(S60:S71)</f>
        <v>124320</v>
      </c>
      <c r="T72" s="126">
        <f t="shared" ref="T72" si="7">SUM(T60:T71)</f>
        <v>113780</v>
      </c>
      <c r="U72" s="126">
        <f>SUM(U60:U71)</f>
        <v>109800</v>
      </c>
    </row>
    <row r="74" spans="1:21" x14ac:dyDescent="0.2">
      <c r="F74" s="2"/>
    </row>
    <row r="75" spans="1:21" x14ac:dyDescent="0.2">
      <c r="F75" s="2"/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356</v>
      </c>
    </row>
    <row r="2" spans="1:21" x14ac:dyDescent="0.2">
      <c r="A2" s="24" t="s">
        <v>84</v>
      </c>
      <c r="B2" s="6">
        <v>5.0000000000000001E-3</v>
      </c>
      <c r="D2" s="94" t="s">
        <v>355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>
        <v>546</v>
      </c>
      <c r="R5" s="1">
        <v>515544</v>
      </c>
      <c r="S5" s="1">
        <v>576141</v>
      </c>
      <c r="T5" s="1">
        <v>700738</v>
      </c>
      <c r="U5" s="1">
        <v>643992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>
        <v>287974</v>
      </c>
      <c r="R6" s="1">
        <v>405968</v>
      </c>
      <c r="S6" s="1">
        <v>449278</v>
      </c>
      <c r="T6" s="1">
        <v>491760</v>
      </c>
      <c r="U6" s="1">
        <v>540961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>
        <v>345404</v>
      </c>
      <c r="R7" s="1">
        <v>363294</v>
      </c>
      <c r="S7" s="1">
        <v>435587</v>
      </c>
      <c r="T7" s="1">
        <v>453101</v>
      </c>
      <c r="U7" s="1">
        <v>518692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>
        <v>383834</v>
      </c>
      <c r="R8" s="1">
        <v>398346</v>
      </c>
      <c r="S8" s="1">
        <v>534729</v>
      </c>
      <c r="T8" s="1">
        <v>590803</v>
      </c>
      <c r="U8" s="1">
        <v>588789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>
        <v>385870</v>
      </c>
      <c r="R9" s="1">
        <v>462524</v>
      </c>
      <c r="S9" s="1">
        <v>539231</v>
      </c>
      <c r="T9" s="1">
        <v>573009</v>
      </c>
      <c r="U9" s="1">
        <v>562044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>
        <v>459349</v>
      </c>
      <c r="R10" s="1">
        <v>516683</v>
      </c>
      <c r="S10" s="1">
        <v>589967</v>
      </c>
      <c r="T10" s="1">
        <v>726516</v>
      </c>
      <c r="U10" s="1">
        <v>778687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414898</v>
      </c>
      <c r="R11" s="1">
        <v>473272</v>
      </c>
      <c r="S11" s="1">
        <v>585852</v>
      </c>
      <c r="T11" s="1">
        <v>794098</v>
      </c>
      <c r="U11" s="1">
        <v>797899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515767</v>
      </c>
      <c r="R12" s="1">
        <v>671249</v>
      </c>
      <c r="S12" s="1">
        <v>646168</v>
      </c>
      <c r="T12" s="1">
        <v>692503</v>
      </c>
      <c r="U12" s="1">
        <v>674686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483113</v>
      </c>
      <c r="R13" s="2">
        <v>487663</v>
      </c>
      <c r="S13" s="1">
        <v>658496</v>
      </c>
      <c r="T13" s="1">
        <v>733764</v>
      </c>
      <c r="U13" s="1">
        <v>730915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477840</v>
      </c>
      <c r="R14" s="1">
        <v>500923</v>
      </c>
      <c r="S14" s="1">
        <v>600618</v>
      </c>
      <c r="T14" s="1">
        <v>726727</v>
      </c>
      <c r="U14" s="1">
        <v>770476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448499</v>
      </c>
      <c r="R15" s="1">
        <v>482590</v>
      </c>
      <c r="S15" s="1">
        <v>687430</v>
      </c>
      <c r="T15" s="1">
        <v>752513</v>
      </c>
      <c r="U15" s="1">
        <v>650973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430582</v>
      </c>
      <c r="R16" s="1">
        <v>486157</v>
      </c>
      <c r="S16" s="1">
        <v>540274</v>
      </c>
      <c r="T16" s="1">
        <v>672182</v>
      </c>
      <c r="U16" s="1">
        <v>626632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4633676</v>
      </c>
      <c r="R17" s="126">
        <f t="shared" ref="R17" si="0">SUM(R5:R16)</f>
        <v>5764213</v>
      </c>
      <c r="S17" s="126">
        <f>SUM(S5:S16)</f>
        <v>6843771</v>
      </c>
      <c r="T17" s="126">
        <f t="shared" ref="T17" si="1">SUM(T5:T16)</f>
        <v>7907714</v>
      </c>
      <c r="U17" s="126">
        <f>SUM(U5:U16)</f>
        <v>7884746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355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>
        <v>24</v>
      </c>
      <c r="R24" s="117">
        <v>29798</v>
      </c>
      <c r="S24" s="1">
        <v>29928</v>
      </c>
      <c r="T24" s="1">
        <v>41495</v>
      </c>
      <c r="U24" s="1">
        <v>32675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>
        <v>15432</v>
      </c>
      <c r="R25" s="1">
        <v>19118</v>
      </c>
      <c r="S25" s="1">
        <v>41742</v>
      </c>
      <c r="T25" s="1">
        <v>26775</v>
      </c>
      <c r="U25" s="1">
        <v>93033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>
        <v>20651</v>
      </c>
      <c r="R26" s="1">
        <v>21398</v>
      </c>
      <c r="S26" s="1">
        <v>19278</v>
      </c>
      <c r="T26" s="1">
        <v>19182</v>
      </c>
      <c r="U26" s="1">
        <v>25103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>
        <v>21338</v>
      </c>
      <c r="R27" s="117">
        <v>31145</v>
      </c>
      <c r="S27" s="1">
        <v>23862</v>
      </c>
      <c r="T27" s="1">
        <v>47594</v>
      </c>
      <c r="U27" s="1">
        <v>38319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>
        <v>41350</v>
      </c>
      <c r="R28" s="1">
        <v>20289</v>
      </c>
      <c r="S28" s="1">
        <v>30625</v>
      </c>
      <c r="T28" s="1">
        <v>33201</v>
      </c>
      <c r="U28" s="1">
        <v>34589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>
        <v>21389</v>
      </c>
      <c r="R29" s="1">
        <v>20146</v>
      </c>
      <c r="S29" s="1">
        <v>28208</v>
      </c>
      <c r="T29" s="1">
        <v>27035</v>
      </c>
      <c r="U29" s="1">
        <v>40725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46255</v>
      </c>
      <c r="R30" s="1">
        <v>21351</v>
      </c>
      <c r="S30" s="1">
        <v>39865</v>
      </c>
      <c r="T30" s="1">
        <v>31236</v>
      </c>
      <c r="U30" s="1">
        <v>47969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25447</v>
      </c>
      <c r="R31" s="1">
        <v>24558</v>
      </c>
      <c r="S31" s="1">
        <v>27731</v>
      </c>
      <c r="T31" s="1">
        <v>41702</v>
      </c>
      <c r="U31" s="1">
        <v>32951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21035</v>
      </c>
      <c r="R32" s="2">
        <v>35150</v>
      </c>
      <c r="S32" s="1">
        <v>31585</v>
      </c>
      <c r="T32" s="1">
        <v>8674</v>
      </c>
      <c r="U32" s="1">
        <v>32739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25845</v>
      </c>
      <c r="R33" s="1">
        <v>25354</v>
      </c>
      <c r="S33" s="1">
        <v>39836</v>
      </c>
      <c r="T33" s="1">
        <v>20621</v>
      </c>
      <c r="U33" s="1">
        <v>20706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28870</v>
      </c>
      <c r="R34" s="1">
        <v>29941</v>
      </c>
      <c r="S34" s="1">
        <v>30649</v>
      </c>
      <c r="T34" s="1">
        <v>28662</v>
      </c>
      <c r="U34" s="1">
        <v>25608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28618</v>
      </c>
      <c r="R35" s="1">
        <v>21141</v>
      </c>
      <c r="S35" s="1">
        <v>32896</v>
      </c>
      <c r="T35" s="1">
        <v>33541</v>
      </c>
      <c r="U35" s="1">
        <v>30836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296254</v>
      </c>
      <c r="R36" s="126">
        <f t="shared" ref="R36" si="2">SUM(R24:R35)</f>
        <v>299389</v>
      </c>
      <c r="S36" s="126">
        <f>SUM(S24:S35)</f>
        <v>376205</v>
      </c>
      <c r="T36" s="126">
        <f t="shared" ref="T36" si="3">SUM(T24:T35)</f>
        <v>359718</v>
      </c>
      <c r="U36" s="126">
        <f>SUM(U24:U35)</f>
        <v>455253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>
        <v>0</v>
      </c>
      <c r="R42" s="117">
        <v>-15</v>
      </c>
      <c r="S42" s="117">
        <v>0</v>
      </c>
      <c r="T42" s="1">
        <v>-24021</v>
      </c>
      <c r="U42" s="1">
        <v>-3864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>
        <v>0</v>
      </c>
      <c r="R43" s="117">
        <v>0</v>
      </c>
      <c r="S43" s="117">
        <v>-257</v>
      </c>
      <c r="T43" s="1">
        <v>-54</v>
      </c>
      <c r="U43" s="1">
        <v>-6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>
        <v>0</v>
      </c>
      <c r="R44" s="1">
        <v>-774</v>
      </c>
      <c r="S44" s="1">
        <v>-5046</v>
      </c>
      <c r="T44" s="1">
        <v>-19736</v>
      </c>
      <c r="U44" s="1">
        <v>-288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>
        <v>0</v>
      </c>
      <c r="R45" s="117">
        <v>0</v>
      </c>
      <c r="S45" s="117">
        <v>0</v>
      </c>
      <c r="T45" s="1">
        <v>-106</v>
      </c>
      <c r="U45" s="1">
        <v>-9150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>
        <v>0</v>
      </c>
      <c r="R46" s="1">
        <v>-3643</v>
      </c>
      <c r="S46" s="117">
        <v>-164</v>
      </c>
      <c r="T46" s="1">
        <v>-4969</v>
      </c>
      <c r="U46" s="1">
        <v>-69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>
        <v>-53</v>
      </c>
      <c r="R47" s="1">
        <v>-492</v>
      </c>
      <c r="S47" s="117">
        <v>-8</v>
      </c>
      <c r="T47" s="1">
        <v>-7103</v>
      </c>
      <c r="U47" s="1">
        <v>-1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-111</v>
      </c>
      <c r="R48" s="1">
        <v>-607</v>
      </c>
      <c r="S48" s="117">
        <v>0</v>
      </c>
      <c r="T48" s="1">
        <v>0</v>
      </c>
      <c r="U48" s="1">
        <v>-2609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0</v>
      </c>
      <c r="R49" s="1">
        <v>-3605</v>
      </c>
      <c r="S49" s="117">
        <v>0</v>
      </c>
      <c r="T49" s="1">
        <v>-31</v>
      </c>
      <c r="U49" s="1">
        <v>-1175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17">
        <v>0</v>
      </c>
      <c r="T50" s="1">
        <v>-477</v>
      </c>
      <c r="U50" s="1">
        <v>-1118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">
        <v>-2701</v>
      </c>
      <c r="S51" s="1">
        <v>-7268</v>
      </c>
      <c r="T51" s="1">
        <v>-5</v>
      </c>
      <c r="U51" s="1">
        <v>-12406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-323</v>
      </c>
      <c r="R52" s="117">
        <v>0</v>
      </c>
      <c r="S52" s="117">
        <v>-527</v>
      </c>
      <c r="T52" s="1">
        <v>-5303</v>
      </c>
      <c r="U52" s="1">
        <v>-855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-189</v>
      </c>
      <c r="S53" s="182">
        <v>-65</v>
      </c>
      <c r="T53" s="1">
        <v>-1937</v>
      </c>
      <c r="U53" s="1">
        <v>-79051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-487</v>
      </c>
      <c r="R54" s="126">
        <f t="shared" ref="R54" si="4">SUM(R42:R53)</f>
        <v>-12026</v>
      </c>
      <c r="S54" s="126">
        <f>SUM(S42:S53)</f>
        <v>-13335</v>
      </c>
      <c r="T54" s="126">
        <f>SUM(T42:T53)</f>
        <v>-63742</v>
      </c>
      <c r="U54" s="126">
        <f>SUM(U42:U53)</f>
        <v>-110592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  <col min="20" max="21" width="10.7109375" bestFit="1" customWidth="1"/>
  </cols>
  <sheetData>
    <row r="1" spans="1:21" x14ac:dyDescent="0.2">
      <c r="A1" s="121" t="s">
        <v>364</v>
      </c>
    </row>
    <row r="2" spans="1:21" x14ac:dyDescent="0.2">
      <c r="A2" s="24" t="s">
        <v>84</v>
      </c>
      <c r="B2" s="6">
        <v>5.0000000000000001E-3</v>
      </c>
      <c r="D2" s="94" t="s">
        <v>362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69318</v>
      </c>
      <c r="S5" s="1">
        <v>82502</v>
      </c>
      <c r="T5" s="1">
        <v>97153</v>
      </c>
      <c r="U5" s="1">
        <v>88595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60852</v>
      </c>
      <c r="S6" s="1">
        <v>67839</v>
      </c>
      <c r="T6" s="1">
        <v>73821</v>
      </c>
      <c r="U6" s="1">
        <v>73759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53427</v>
      </c>
      <c r="S7" s="1">
        <v>66667</v>
      </c>
      <c r="T7" s="1">
        <v>68225</v>
      </c>
      <c r="U7" s="1">
        <v>67701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>
        <v>0</v>
      </c>
      <c r="R8" s="1">
        <v>58596</v>
      </c>
      <c r="S8" s="1">
        <v>84486</v>
      </c>
      <c r="T8" s="1">
        <v>79310</v>
      </c>
      <c r="U8" s="1">
        <v>81485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>
        <v>50312</v>
      </c>
      <c r="R9" s="1">
        <v>66469</v>
      </c>
      <c r="S9" s="1">
        <v>77093</v>
      </c>
      <c r="T9" s="1">
        <v>75510</v>
      </c>
      <c r="U9" s="1">
        <v>78007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>
        <v>57094</v>
      </c>
      <c r="R10" s="1">
        <v>72190</v>
      </c>
      <c r="S10" s="1">
        <v>87135</v>
      </c>
      <c r="T10" s="1">
        <v>92240</v>
      </c>
      <c r="U10" s="1">
        <v>90325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64706</v>
      </c>
      <c r="R11" s="1">
        <v>79201</v>
      </c>
      <c r="S11" s="1">
        <v>90654</v>
      </c>
      <c r="T11" s="1">
        <v>91528</v>
      </c>
      <c r="U11" s="1">
        <v>95141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69557</v>
      </c>
      <c r="R12" s="1">
        <v>78561</v>
      </c>
      <c r="S12" s="1">
        <v>82420</v>
      </c>
      <c r="T12" s="1">
        <v>86240</v>
      </c>
      <c r="U12" s="1">
        <v>88075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64782</v>
      </c>
      <c r="R13" s="2">
        <v>77402</v>
      </c>
      <c r="S13" s="1">
        <v>83608</v>
      </c>
      <c r="T13" s="1">
        <v>89094</v>
      </c>
      <c r="U13" s="1">
        <v>88566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70996</v>
      </c>
      <c r="R14" s="1">
        <v>71428</v>
      </c>
      <c r="S14" s="1">
        <v>87887</v>
      </c>
      <c r="T14" s="1">
        <v>88964</v>
      </c>
      <c r="U14" s="1">
        <v>88433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61079</v>
      </c>
      <c r="R15" s="1">
        <v>69896</v>
      </c>
      <c r="S15" s="1">
        <v>82851</v>
      </c>
      <c r="T15" s="1">
        <v>81817</v>
      </c>
      <c r="U15" s="1">
        <v>80537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66853</v>
      </c>
      <c r="R16" s="1">
        <v>81759</v>
      </c>
      <c r="S16" s="1">
        <v>86652</v>
      </c>
      <c r="T16" s="1">
        <v>86182</v>
      </c>
      <c r="U16" s="1">
        <v>87507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505379</v>
      </c>
      <c r="R17" s="126">
        <f t="shared" ref="R17" si="0">SUM(R5:R16)</f>
        <v>839099</v>
      </c>
      <c r="S17" s="126">
        <f>SUM(S5:S16)</f>
        <v>979794</v>
      </c>
      <c r="T17" s="126">
        <f t="shared" ref="T17" si="1">SUM(T5:T16)</f>
        <v>1010084</v>
      </c>
      <c r="U17" s="126">
        <f>SUM(U5:U16)</f>
        <v>1008131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362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2409</v>
      </c>
      <c r="S24" s="1">
        <v>5365</v>
      </c>
      <c r="T24" s="1">
        <v>5794</v>
      </c>
      <c r="U24" s="1">
        <v>6003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3415</v>
      </c>
      <c r="S25" s="1">
        <v>2656</v>
      </c>
      <c r="T25" s="1">
        <v>3594</v>
      </c>
      <c r="U25" s="1">
        <v>4383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2103</v>
      </c>
      <c r="S26" s="1">
        <v>1736</v>
      </c>
      <c r="T26" s="1">
        <v>13224</v>
      </c>
      <c r="U26" s="1">
        <v>2088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>
        <v>0</v>
      </c>
      <c r="R27" s="1">
        <v>2004</v>
      </c>
      <c r="S27" s="1">
        <v>4419</v>
      </c>
      <c r="T27" s="1">
        <v>4744</v>
      </c>
      <c r="U27" s="1">
        <v>4283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>
        <v>1043</v>
      </c>
      <c r="R28" s="1">
        <v>1788</v>
      </c>
      <c r="S28" s="1">
        <v>5641</v>
      </c>
      <c r="T28" s="1">
        <v>4839</v>
      </c>
      <c r="U28" s="1">
        <v>5042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>
        <v>2807</v>
      </c>
      <c r="R29" s="113">
        <v>3445</v>
      </c>
      <c r="S29" s="1">
        <v>5738</v>
      </c>
      <c r="T29" s="1">
        <v>6948</v>
      </c>
      <c r="U29" s="1">
        <v>6230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7562</v>
      </c>
      <c r="R30" s="1">
        <v>5912</v>
      </c>
      <c r="S30" s="1">
        <v>7246</v>
      </c>
      <c r="T30" s="1">
        <v>5690</v>
      </c>
      <c r="U30" s="1">
        <v>6540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1878</v>
      </c>
      <c r="R31" s="1">
        <v>2548</v>
      </c>
      <c r="S31" s="1">
        <v>7712</v>
      </c>
      <c r="T31" s="1">
        <v>8036</v>
      </c>
      <c r="U31" s="1">
        <v>5060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4460</v>
      </c>
      <c r="R32" s="2">
        <v>3268</v>
      </c>
      <c r="S32" s="1">
        <v>7706</v>
      </c>
      <c r="T32" s="1">
        <v>5734</v>
      </c>
      <c r="U32" s="1">
        <v>4154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4366</v>
      </c>
      <c r="R33" s="1">
        <v>3291</v>
      </c>
      <c r="S33" s="1">
        <v>7658</v>
      </c>
      <c r="T33" s="1">
        <v>5920</v>
      </c>
      <c r="U33" s="1">
        <v>4018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2640</v>
      </c>
      <c r="R34" s="1">
        <v>1888</v>
      </c>
      <c r="S34" s="1">
        <v>6689</v>
      </c>
      <c r="T34" s="1">
        <v>5373</v>
      </c>
      <c r="U34" s="1">
        <v>5744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2256</v>
      </c>
      <c r="R35" s="1">
        <v>3717</v>
      </c>
      <c r="S35" s="1">
        <v>6450</v>
      </c>
      <c r="T35" s="1">
        <v>4126</v>
      </c>
      <c r="U35" s="1">
        <v>3794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27012</v>
      </c>
      <c r="R36" s="126">
        <f t="shared" ref="R36" si="2">SUM(R24:R35)</f>
        <v>35788</v>
      </c>
      <c r="S36" s="126">
        <f>SUM(S24:S35)</f>
        <v>69016</v>
      </c>
      <c r="T36" s="126">
        <f t="shared" ref="T36" si="3">SUM(T24:T35)</f>
        <v>74022</v>
      </c>
      <c r="U36" s="126">
        <f>SUM(U24:U35)</f>
        <v>57339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-37</v>
      </c>
      <c r="T43" s="1">
        <v>-144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-72</v>
      </c>
      <c r="S44" s="117">
        <v>-46</v>
      </c>
      <c r="T44" s="1">
        <v>-246</v>
      </c>
      <c r="U44" s="1">
        <v>-34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>
        <v>0</v>
      </c>
      <c r="R45" s="117">
        <v>-102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>
        <v>0</v>
      </c>
      <c r="R46" s="117">
        <v>0</v>
      </c>
      <c r="S46" s="117">
        <v>0</v>
      </c>
      <c r="T46" s="1">
        <v>-131</v>
      </c>
      <c r="U46" s="1">
        <v>-199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>
        <v>0</v>
      </c>
      <c r="R47" s="117">
        <v>-7</v>
      </c>
      <c r="S47" s="117">
        <v>-66</v>
      </c>
      <c r="T47" s="1">
        <v>0</v>
      </c>
      <c r="U47" s="1">
        <v>-95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0</v>
      </c>
      <c r="R48" s="117">
        <v>-72</v>
      </c>
      <c r="S48" s="117">
        <v>0</v>
      </c>
      <c r="T48" s="1">
        <v>-12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-20</v>
      </c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17">
        <v>0</v>
      </c>
      <c r="T50" s="1">
        <v>0</v>
      </c>
      <c r="U50" s="1">
        <v>-32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>
        <v>-102</v>
      </c>
      <c r="R53" s="95">
        <v>-2</v>
      </c>
      <c r="S53" s="117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-122</v>
      </c>
      <c r="R54" s="126">
        <f t="shared" ref="R54" si="4">SUM(R42:R53)</f>
        <v>-255</v>
      </c>
      <c r="S54" s="126">
        <f>SUM(S42:S53)</f>
        <v>-149</v>
      </c>
      <c r="T54" s="126">
        <f t="shared" ref="T54" si="5">SUM(T42:T53)</f>
        <v>-533</v>
      </c>
      <c r="U54" s="126">
        <f>SUM(U42:U53)</f>
        <v>-360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</cols>
  <sheetData>
    <row r="1" spans="1:21" x14ac:dyDescent="0.2">
      <c r="A1" s="121" t="s">
        <v>361</v>
      </c>
    </row>
    <row r="2" spans="1:21" x14ac:dyDescent="0.2">
      <c r="A2" s="24" t="s">
        <v>84</v>
      </c>
      <c r="B2" s="6">
        <v>5.0000000000000001E-3</v>
      </c>
      <c r="D2" s="94" t="s">
        <v>362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82612</v>
      </c>
      <c r="S5" s="1">
        <v>81092</v>
      </c>
      <c r="T5" s="1">
        <v>106676</v>
      </c>
      <c r="U5" s="1">
        <v>99972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60741</v>
      </c>
      <c r="S6" s="1">
        <v>68495</v>
      </c>
      <c r="T6" s="1">
        <v>73980</v>
      </c>
      <c r="U6" s="1">
        <v>82093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">
        <v>57072</v>
      </c>
      <c r="S7" s="1">
        <v>61621</v>
      </c>
      <c r="T7" s="1">
        <v>71879</v>
      </c>
      <c r="U7" s="1">
        <v>75556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>
        <v>35</v>
      </c>
      <c r="R8" s="1">
        <v>65693</v>
      </c>
      <c r="S8" s="1">
        <v>84423</v>
      </c>
      <c r="T8" s="1">
        <v>88135</v>
      </c>
      <c r="U8" s="1">
        <v>93951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>
        <v>55805</v>
      </c>
      <c r="R9" s="1">
        <v>65897</v>
      </c>
      <c r="S9" s="1">
        <v>79018</v>
      </c>
      <c r="T9" s="1">
        <v>80221</v>
      </c>
      <c r="U9" s="1">
        <v>95830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>
        <v>65799</v>
      </c>
      <c r="R10" s="1">
        <v>81855</v>
      </c>
      <c r="S10" s="1">
        <v>84498</v>
      </c>
      <c r="T10" s="1">
        <v>93148</v>
      </c>
      <c r="U10" s="1">
        <v>106866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70527</v>
      </c>
      <c r="R11" s="1">
        <v>75435</v>
      </c>
      <c r="S11" s="1">
        <v>94911</v>
      </c>
      <c r="T11" s="1">
        <v>120859</v>
      </c>
      <c r="U11" s="1">
        <v>128126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78095</v>
      </c>
      <c r="R12" s="1">
        <v>87044</v>
      </c>
      <c r="S12" s="1">
        <v>97256</v>
      </c>
      <c r="T12" s="1">
        <v>110716</v>
      </c>
      <c r="U12" s="1">
        <v>106177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82309</v>
      </c>
      <c r="R13" s="2">
        <v>80737</v>
      </c>
      <c r="S13" s="1">
        <v>99418</v>
      </c>
      <c r="T13" s="1">
        <v>108145</v>
      </c>
      <c r="U13" s="1">
        <v>116782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75070</v>
      </c>
      <c r="R14" s="1">
        <v>84096</v>
      </c>
      <c r="S14" s="1">
        <v>98519</v>
      </c>
      <c r="T14" s="1">
        <v>107868</v>
      </c>
      <c r="U14" s="1">
        <v>111747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78692</v>
      </c>
      <c r="R15" s="1">
        <v>74057</v>
      </c>
      <c r="S15" s="1">
        <v>95036</v>
      </c>
      <c r="T15" s="1">
        <v>98806</v>
      </c>
      <c r="U15" s="1">
        <v>100356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70836</v>
      </c>
      <c r="R16" s="1">
        <v>73810</v>
      </c>
      <c r="S16" s="1">
        <v>87345</v>
      </c>
      <c r="T16" s="1">
        <v>96980</v>
      </c>
      <c r="U16" s="1">
        <v>98144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577168</v>
      </c>
      <c r="R17" s="126">
        <f t="shared" ref="R17" si="0">SUM(R5:R16)</f>
        <v>889049</v>
      </c>
      <c r="S17" s="126">
        <f>SUM(S5:S16)</f>
        <v>1031632</v>
      </c>
      <c r="T17" s="126">
        <f t="shared" ref="T17" si="1">SUM(T5:T16)</f>
        <v>1157413</v>
      </c>
      <c r="U17" s="126">
        <f>SUM(U5:U16)</f>
        <v>1215600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362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2262</v>
      </c>
      <c r="S24" s="1">
        <v>5945</v>
      </c>
      <c r="T24" s="1">
        <v>2142</v>
      </c>
      <c r="U24" s="1">
        <v>3760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1826</v>
      </c>
      <c r="S25" s="1">
        <v>1553</v>
      </c>
      <c r="T25" s="1">
        <v>2435</v>
      </c>
      <c r="U25" s="1">
        <v>2195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1335</v>
      </c>
      <c r="S26" s="1">
        <v>1853</v>
      </c>
      <c r="T26" s="1">
        <v>1682</v>
      </c>
      <c r="U26" s="1">
        <v>2483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>
        <v>0</v>
      </c>
      <c r="R27" s="117">
        <v>2005</v>
      </c>
      <c r="S27" s="1">
        <v>2592</v>
      </c>
      <c r="T27" s="1">
        <v>2698</v>
      </c>
      <c r="U27" s="1">
        <v>3935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>
        <v>1224</v>
      </c>
      <c r="R28" s="1">
        <v>1294</v>
      </c>
      <c r="S28" s="1">
        <v>6142</v>
      </c>
      <c r="T28" s="1">
        <v>3202</v>
      </c>
      <c r="U28" s="1">
        <v>3434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>
        <v>1274</v>
      </c>
      <c r="R29" s="113">
        <v>1293</v>
      </c>
      <c r="S29" s="1">
        <v>2570</v>
      </c>
      <c r="T29" s="1">
        <v>2467</v>
      </c>
      <c r="U29" s="1">
        <v>3394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2371</v>
      </c>
      <c r="R30" s="1">
        <v>1808</v>
      </c>
      <c r="S30" s="1">
        <v>4373</v>
      </c>
      <c r="T30" s="1">
        <v>3228</v>
      </c>
      <c r="U30" s="1">
        <v>3702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2665</v>
      </c>
      <c r="R31" s="1">
        <v>2792</v>
      </c>
      <c r="S31" s="1">
        <v>3697</v>
      </c>
      <c r="T31" s="1">
        <v>8476</v>
      </c>
      <c r="U31" s="1">
        <v>3863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3475</v>
      </c>
      <c r="R32" s="2">
        <v>3239</v>
      </c>
      <c r="S32" s="1">
        <v>3115</v>
      </c>
      <c r="T32" s="1">
        <v>5272</v>
      </c>
      <c r="U32" s="1">
        <v>3378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4544</v>
      </c>
      <c r="R33" s="1">
        <v>2396</v>
      </c>
      <c r="S33" s="1">
        <v>3821</v>
      </c>
      <c r="T33" s="1">
        <v>3830</v>
      </c>
      <c r="U33" s="1">
        <v>6612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1207</v>
      </c>
      <c r="R34" s="1">
        <v>5900</v>
      </c>
      <c r="S34" s="1">
        <v>2572</v>
      </c>
      <c r="T34" s="1">
        <v>5123</v>
      </c>
      <c r="U34" s="1">
        <v>2709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1124</v>
      </c>
      <c r="R35" s="1">
        <v>1758</v>
      </c>
      <c r="S35" s="1">
        <v>1976</v>
      </c>
      <c r="T35" s="1">
        <v>5110</v>
      </c>
      <c r="U35" s="1">
        <v>3843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17884</v>
      </c>
      <c r="R36" s="126">
        <f t="shared" ref="R36" si="2">SUM(R24:R35)</f>
        <v>27908</v>
      </c>
      <c r="S36" s="126">
        <f>SUM(S24:S35)</f>
        <v>40209</v>
      </c>
      <c r="T36" s="126">
        <f t="shared" ref="T36" si="3">SUM(T24:T35)</f>
        <v>45665</v>
      </c>
      <c r="U36" s="126">
        <f>SUM(U24:U35)</f>
        <v>43308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-394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-2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>
        <v>0</v>
      </c>
      <c r="R45" s="117">
        <v>0</v>
      </c>
      <c r="S45" s="117">
        <v>-41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>
        <v>0</v>
      </c>
      <c r="R46" s="117">
        <v>0</v>
      </c>
      <c r="S46" s="117">
        <v>0</v>
      </c>
      <c r="T46" s="1">
        <v>-1</v>
      </c>
      <c r="U46" s="1">
        <v>-4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>
        <v>0</v>
      </c>
      <c r="R47" s="117">
        <v>-2</v>
      </c>
      <c r="S47" s="117">
        <v>-12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0</v>
      </c>
      <c r="R48" s="117">
        <v>0</v>
      </c>
      <c r="S48" s="117">
        <v>0</v>
      </c>
      <c r="T48" s="1">
        <v>-24</v>
      </c>
      <c r="U48" s="1">
        <v>-2055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0</v>
      </c>
      <c r="R49" s="117">
        <v>0</v>
      </c>
      <c r="S49" s="1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">
        <v>0</v>
      </c>
      <c r="T50" s="1">
        <v>-6432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">
        <v>-3053</v>
      </c>
      <c r="T52" s="1">
        <v>0</v>
      </c>
      <c r="U52" s="1">
        <v>-132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">
        <v>-1906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-1910</v>
      </c>
      <c r="S54" s="126">
        <f>SUM(S42:S53)</f>
        <v>-3500</v>
      </c>
      <c r="T54" s="126">
        <f t="shared" ref="T54" si="5">SUM(T42:T53)</f>
        <v>-6457</v>
      </c>
      <c r="U54" s="126">
        <f>SUM(U42:U53)</f>
        <v>-2191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367</v>
      </c>
    </row>
    <row r="2" spans="1:21" x14ac:dyDescent="0.2">
      <c r="A2" s="24" t="s">
        <v>84</v>
      </c>
      <c r="B2" s="6">
        <v>5.0000000000000001E-3</v>
      </c>
      <c r="D2" s="94" t="s">
        <v>368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">
        <v>208982</v>
      </c>
      <c r="S5" s="1">
        <v>246261</v>
      </c>
      <c r="T5" s="1">
        <v>267297</v>
      </c>
      <c r="U5" s="1">
        <v>284745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165029</v>
      </c>
      <c r="S6" s="1">
        <v>196750</v>
      </c>
      <c r="T6" s="1">
        <v>220000</v>
      </c>
      <c r="U6" s="1">
        <v>215803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">
        <v>154507</v>
      </c>
      <c r="S7" s="1">
        <v>191417</v>
      </c>
      <c r="T7" s="1">
        <v>221686</v>
      </c>
      <c r="U7" s="1">
        <v>209083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">
        <v>180840</v>
      </c>
      <c r="S8" s="1">
        <v>256068</v>
      </c>
      <c r="T8" s="1">
        <v>249158</v>
      </c>
      <c r="U8" s="1">
        <v>235870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">
        <v>206509</v>
      </c>
      <c r="S9" s="1">
        <v>248465</v>
      </c>
      <c r="T9" s="1">
        <v>253885</v>
      </c>
      <c r="U9" s="1">
        <v>252964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>
        <v>250856</v>
      </c>
      <c r="S10" s="1">
        <v>271196</v>
      </c>
      <c r="T10" s="1">
        <v>352564</v>
      </c>
      <c r="U10" s="1">
        <v>311069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>
        <v>27</v>
      </c>
      <c r="R11" s="1">
        <v>179780</v>
      </c>
      <c r="S11" s="1">
        <v>256832</v>
      </c>
      <c r="T11" s="1">
        <v>303465</v>
      </c>
      <c r="U11" s="1">
        <v>322652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>
        <v>169019</v>
      </c>
      <c r="R12" s="1">
        <v>299516</v>
      </c>
      <c r="S12" s="1">
        <v>282923</v>
      </c>
      <c r="T12" s="1">
        <v>280727</v>
      </c>
      <c r="U12" s="1">
        <v>278958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>
        <v>185128</v>
      </c>
      <c r="R13" s="2">
        <v>219380</v>
      </c>
      <c r="S13" s="1">
        <v>241233</v>
      </c>
      <c r="T13" s="1">
        <v>275003</v>
      </c>
      <c r="U13" s="1">
        <v>297827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185296</v>
      </c>
      <c r="R14" s="1">
        <v>228281</v>
      </c>
      <c r="S14" s="1">
        <v>267524</v>
      </c>
      <c r="T14" s="1">
        <v>272206</v>
      </c>
      <c r="U14" s="1">
        <v>317483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186368</v>
      </c>
      <c r="R15" s="1">
        <v>227318</v>
      </c>
      <c r="S15" s="1">
        <v>247773</v>
      </c>
      <c r="T15" s="1">
        <v>268572</v>
      </c>
      <c r="U15" s="1">
        <v>317492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187293</v>
      </c>
      <c r="R16" s="1">
        <v>218652</v>
      </c>
      <c r="S16" s="1">
        <v>233715</v>
      </c>
      <c r="T16" s="1">
        <v>315308</v>
      </c>
      <c r="U16" s="1">
        <v>304325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913131</v>
      </c>
      <c r="R17" s="126">
        <f t="shared" ref="R17" si="0">SUM(R5:R16)</f>
        <v>2539650</v>
      </c>
      <c r="S17" s="126">
        <f>SUM(S5:S16)</f>
        <v>2940157</v>
      </c>
      <c r="T17" s="126">
        <f t="shared" ref="T17" si="1">SUM(T5:T16)</f>
        <v>3279871</v>
      </c>
      <c r="U17" s="126">
        <f>SUM(U5:U16)</f>
        <v>3348271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368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5737</v>
      </c>
      <c r="S24" s="1">
        <v>5756</v>
      </c>
      <c r="T24" s="1">
        <v>10624</v>
      </c>
      <c r="U24" s="1">
        <v>9206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3901</v>
      </c>
      <c r="S25" s="1">
        <v>8393</v>
      </c>
      <c r="T25" s="1">
        <v>5218</v>
      </c>
      <c r="U25" s="1">
        <v>4915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4229</v>
      </c>
      <c r="S26" s="1">
        <v>4517</v>
      </c>
      <c r="T26" s="1">
        <v>4890</v>
      </c>
      <c r="U26" s="1">
        <v>5220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3130</v>
      </c>
      <c r="S27" s="1">
        <v>4425</v>
      </c>
      <c r="T27" s="1">
        <v>6359</v>
      </c>
      <c r="U27" s="1">
        <v>5856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">
        <v>3115</v>
      </c>
      <c r="S28" s="1">
        <v>5841</v>
      </c>
      <c r="T28" s="1">
        <v>6162</v>
      </c>
      <c r="U28" s="1">
        <v>5436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3842</v>
      </c>
      <c r="S29" s="1">
        <v>13600</v>
      </c>
      <c r="T29" s="1">
        <v>8115</v>
      </c>
      <c r="U29" s="1">
        <v>7678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>
        <v>0</v>
      </c>
      <c r="R30" s="1">
        <v>4374</v>
      </c>
      <c r="S30" s="1">
        <v>6443</v>
      </c>
      <c r="T30" s="1">
        <v>8380</v>
      </c>
      <c r="U30" s="1">
        <v>13042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>
        <v>4020</v>
      </c>
      <c r="R31" s="1">
        <v>4868</v>
      </c>
      <c r="S31" s="1">
        <v>6884</v>
      </c>
      <c r="T31" s="1">
        <v>8023</v>
      </c>
      <c r="U31" s="1">
        <v>12857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>
        <v>3526</v>
      </c>
      <c r="R32" s="2">
        <v>7566</v>
      </c>
      <c r="S32" s="1">
        <v>5998</v>
      </c>
      <c r="T32" s="1">
        <v>10345</v>
      </c>
      <c r="U32" s="1">
        <v>6563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5195</v>
      </c>
      <c r="R33" s="1">
        <v>7134</v>
      </c>
      <c r="S33" s="1">
        <v>5823</v>
      </c>
      <c r="T33" s="1">
        <v>7390</v>
      </c>
      <c r="U33" s="1">
        <v>6445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4340</v>
      </c>
      <c r="R34" s="1">
        <v>4082</v>
      </c>
      <c r="S34" s="1">
        <v>4873</v>
      </c>
      <c r="T34" s="1">
        <v>9484</v>
      </c>
      <c r="U34" s="1">
        <v>9354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4246</v>
      </c>
      <c r="R35" s="1">
        <v>6077</v>
      </c>
      <c r="S35" s="1">
        <v>4418</v>
      </c>
      <c r="T35" s="1">
        <v>5389</v>
      </c>
      <c r="U35" s="1">
        <v>7028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21327</v>
      </c>
      <c r="R36" s="126">
        <f t="shared" ref="R36" si="2">SUM(R24:R35)</f>
        <v>58055</v>
      </c>
      <c r="S36" s="126">
        <f>SUM(S24:S35)</f>
        <v>76971</v>
      </c>
      <c r="T36" s="126">
        <f t="shared" ref="T36" si="3">SUM(T24:T35)</f>
        <v>90379</v>
      </c>
      <c r="U36" s="126">
        <f>SUM(U24:U35)</f>
        <v>93600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-451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-28</v>
      </c>
      <c r="T43" s="1">
        <v>-15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-6</v>
      </c>
      <c r="S44" s="1">
        <v>-1996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-4</v>
      </c>
      <c r="U45" s="1">
        <v>-13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-10</v>
      </c>
      <c r="U46" s="1">
        <v>-233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-6</v>
      </c>
      <c r="S47" s="117">
        <v>-15</v>
      </c>
      <c r="T47" s="1">
        <v>0</v>
      </c>
      <c r="U47" s="1">
        <v>-284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>
        <v>0</v>
      </c>
      <c r="R48" s="117">
        <v>-189</v>
      </c>
      <c r="S48" s="117">
        <v>0</v>
      </c>
      <c r="T48" s="1">
        <v>-788</v>
      </c>
      <c r="U48" s="1">
        <v>-7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>
        <v>0</v>
      </c>
      <c r="R49" s="117">
        <v>0</v>
      </c>
      <c r="S49" s="117">
        <v>0</v>
      </c>
      <c r="T49" s="1">
        <v>-322</v>
      </c>
      <c r="U49" s="1">
        <v>-390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>
        <v>0</v>
      </c>
      <c r="R50" s="117">
        <v>0</v>
      </c>
      <c r="S50" s="117">
        <v>-118</v>
      </c>
      <c r="T50" s="1">
        <v>0</v>
      </c>
      <c r="U50" s="1">
        <v>-37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-886</v>
      </c>
      <c r="T51" s="1">
        <v>-3445</v>
      </c>
      <c r="U51" s="1">
        <v>-111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">
        <v>-1042</v>
      </c>
      <c r="T52" s="1">
        <v>-738</v>
      </c>
      <c r="U52" s="1">
        <v>-283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0</v>
      </c>
      <c r="S53" s="182">
        <v>0</v>
      </c>
      <c r="T53" s="1">
        <v>-602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-201</v>
      </c>
      <c r="S54" s="126">
        <f>SUM(S42:S53)</f>
        <v>-4085</v>
      </c>
      <c r="T54" s="126">
        <f t="shared" ref="T54" si="5">SUM(T42:T53)</f>
        <v>-6375</v>
      </c>
      <c r="U54" s="126">
        <f>SUM(U42:U53)</f>
        <v>-1358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 t="s">
        <v>374</v>
      </c>
    </row>
    <row r="2" spans="1:21" x14ac:dyDescent="0.2">
      <c r="A2" s="24" t="s">
        <v>84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211106</v>
      </c>
      <c r="S5" s="1">
        <v>246838</v>
      </c>
      <c r="T5" s="1">
        <v>311558</v>
      </c>
      <c r="U5" s="1">
        <v>327330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166805</v>
      </c>
      <c r="S6" s="1">
        <v>203651</v>
      </c>
      <c r="T6" s="1">
        <v>277739</v>
      </c>
      <c r="U6" s="1">
        <v>258061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168459</v>
      </c>
      <c r="S7" s="1">
        <v>215412</v>
      </c>
      <c r="T7" s="1">
        <v>280959</v>
      </c>
      <c r="U7" s="1">
        <v>253395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194393</v>
      </c>
      <c r="S8" s="1">
        <v>259209</v>
      </c>
      <c r="T8" s="1">
        <v>334905</v>
      </c>
      <c r="U8" s="1">
        <v>312184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198672</v>
      </c>
      <c r="S9" s="1">
        <v>262310</v>
      </c>
      <c r="T9" s="1">
        <v>288171</v>
      </c>
      <c r="U9" s="1">
        <v>292251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>
        <v>215336</v>
      </c>
      <c r="S10" s="1">
        <v>257305</v>
      </c>
      <c r="T10" s="1">
        <v>344752</v>
      </c>
      <c r="U10" s="1">
        <v>355085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222269</v>
      </c>
      <c r="S11" s="1">
        <v>287613</v>
      </c>
      <c r="T11" s="1">
        <v>322966</v>
      </c>
      <c r="U11" s="1">
        <v>350714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245887</v>
      </c>
      <c r="S12" s="1">
        <v>295909</v>
      </c>
      <c r="T12" s="1">
        <v>313303</v>
      </c>
      <c r="U12" s="1">
        <v>296446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212023</v>
      </c>
      <c r="S13" s="1">
        <v>265893</v>
      </c>
      <c r="T13" s="1">
        <v>330444</v>
      </c>
      <c r="U13" s="1">
        <v>344860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39</v>
      </c>
      <c r="R14" s="1">
        <v>216716</v>
      </c>
      <c r="S14" s="1">
        <v>283017</v>
      </c>
      <c r="T14" s="1">
        <v>299725</v>
      </c>
      <c r="U14" s="1">
        <v>305503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156813</v>
      </c>
      <c r="R15" s="1">
        <v>213153</v>
      </c>
      <c r="S15" s="1">
        <v>277071</v>
      </c>
      <c r="T15" s="1">
        <v>302058</v>
      </c>
      <c r="U15" s="1">
        <v>308063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165701</v>
      </c>
      <c r="R16" s="1">
        <v>206987</v>
      </c>
      <c r="S16" s="1">
        <v>290285</v>
      </c>
      <c r="T16" s="1">
        <v>364809</v>
      </c>
      <c r="U16" s="1">
        <v>301965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322553</v>
      </c>
      <c r="R17" s="126">
        <f t="shared" ref="R17" si="0">SUM(R5:R16)</f>
        <v>2471806</v>
      </c>
      <c r="S17" s="126">
        <f>SUM(S5:S16)</f>
        <v>3144513</v>
      </c>
      <c r="T17" s="126">
        <f t="shared" ref="T17" si="1">SUM(T5:T16)</f>
        <v>3771389</v>
      </c>
      <c r="U17" s="126">
        <f>SUM(U5:U16)</f>
        <v>3705857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85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13662</v>
      </c>
      <c r="S24" s="1">
        <v>11705</v>
      </c>
      <c r="T24" s="1">
        <v>14711</v>
      </c>
      <c r="U24" s="1">
        <v>18081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9970</v>
      </c>
      <c r="S25" s="1">
        <v>10337</v>
      </c>
      <c r="T25" s="1">
        <v>18052</v>
      </c>
      <c r="U25" s="1">
        <v>27076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8548</v>
      </c>
      <c r="S26" s="1">
        <v>10739</v>
      </c>
      <c r="T26" s="1">
        <v>13549</v>
      </c>
      <c r="U26" s="1">
        <v>11629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10916</v>
      </c>
      <c r="S27" s="1">
        <v>8730</v>
      </c>
      <c r="T27" s="1">
        <v>25049</v>
      </c>
      <c r="U27" s="1">
        <v>19367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">
        <v>8697</v>
      </c>
      <c r="S28" s="1">
        <v>9262</v>
      </c>
      <c r="T28" s="1">
        <v>11970</v>
      </c>
      <c r="U28" s="1">
        <v>14349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11345</v>
      </c>
      <c r="S29" s="1">
        <v>9214</v>
      </c>
      <c r="T29" s="1">
        <v>18153</v>
      </c>
      <c r="U29" s="1">
        <v>17702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12623</v>
      </c>
      <c r="S30" s="1">
        <v>13472</v>
      </c>
      <c r="T30" s="1">
        <v>23621</v>
      </c>
      <c r="U30" s="1">
        <v>21331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16464</v>
      </c>
      <c r="S31" s="1">
        <v>17128</v>
      </c>
      <c r="T31" s="1">
        <v>27069</v>
      </c>
      <c r="U31" s="1">
        <v>20001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10195</v>
      </c>
      <c r="S32" s="1">
        <v>15405</v>
      </c>
      <c r="T32" s="1">
        <v>19394</v>
      </c>
      <c r="U32" s="1">
        <v>28592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14146</v>
      </c>
      <c r="S33" s="1">
        <v>15543</v>
      </c>
      <c r="T33" s="1">
        <v>18583</v>
      </c>
      <c r="U33" s="1">
        <v>20247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18586</v>
      </c>
      <c r="R34" s="1">
        <v>14570</v>
      </c>
      <c r="S34" s="1">
        <v>14628</v>
      </c>
      <c r="T34" s="1">
        <v>16010</v>
      </c>
      <c r="U34" s="1">
        <v>18554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10751</v>
      </c>
      <c r="R35" s="1">
        <v>9316</v>
      </c>
      <c r="S35" s="1">
        <v>12824</v>
      </c>
      <c r="T35" s="1">
        <v>16930</v>
      </c>
      <c r="U35" s="1">
        <v>23801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29337</v>
      </c>
      <c r="R36" s="126">
        <f t="shared" ref="R36" si="2">SUM(R24:R35)</f>
        <v>140452</v>
      </c>
      <c r="S36" s="126">
        <f>SUM(S24:S35)</f>
        <v>148987</v>
      </c>
      <c r="T36" s="126">
        <f t="shared" ref="T36" si="3">SUM(T24:T35)</f>
        <v>223091</v>
      </c>
      <c r="U36" s="126">
        <f>SUM(U24:U35)</f>
        <v>240730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273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-618</v>
      </c>
      <c r="S42" s="1">
        <v>-6928</v>
      </c>
      <c r="T42" s="1">
        <v>-5906</v>
      </c>
      <c r="U42" s="1">
        <v>-2682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-64</v>
      </c>
      <c r="U43" s="1">
        <v>-1196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-17</v>
      </c>
      <c r="T44" s="1">
        <v>-65</v>
      </c>
      <c r="U44" s="1">
        <v>-7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-12</v>
      </c>
      <c r="S45" s="117">
        <v>-195</v>
      </c>
      <c r="T45" s="1">
        <v>-6</v>
      </c>
      <c r="U45" s="1">
        <v>-127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">
        <v>-618</v>
      </c>
      <c r="S46" s="117">
        <v>0</v>
      </c>
      <c r="T46" s="1">
        <v>-192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-419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-12</v>
      </c>
      <c r="S48" s="117">
        <v>-106</v>
      </c>
      <c r="T48" s="1">
        <v>-140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-325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-13</v>
      </c>
      <c r="U50" s="1">
        <v>-381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-35</v>
      </c>
      <c r="S51" s="117">
        <v>-251</v>
      </c>
      <c r="T51" s="1">
        <v>0</v>
      </c>
      <c r="U51" s="1">
        <v>-2134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-294</v>
      </c>
      <c r="T52" s="1">
        <v>-305</v>
      </c>
      <c r="U52" s="1">
        <v>-26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">
        <v>-710</v>
      </c>
      <c r="S53" s="182">
        <v>-61</v>
      </c>
      <c r="T53" s="1">
        <v>-436</v>
      </c>
      <c r="U53" s="1">
        <v>-150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-2005</v>
      </c>
      <c r="S54" s="126">
        <f>SUM(S42:S53)</f>
        <v>-8271</v>
      </c>
      <c r="T54" s="126">
        <f t="shared" ref="T54" si="5">SUM(T42:T53)</f>
        <v>-7127</v>
      </c>
      <c r="U54" s="126">
        <f>SUM(U42:U53)</f>
        <v>-7028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</cols>
  <sheetData>
    <row r="1" spans="1:21" x14ac:dyDescent="0.2">
      <c r="A1" s="121"/>
    </row>
    <row r="2" spans="1:21" x14ac:dyDescent="0.2">
      <c r="A2" s="24" t="s">
        <v>394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14813</v>
      </c>
      <c r="S5" s="1">
        <v>17136</v>
      </c>
      <c r="T5" s="1">
        <v>19050</v>
      </c>
      <c r="U5" s="1">
        <v>29293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13698</v>
      </c>
      <c r="S6" s="1">
        <v>12686</v>
      </c>
      <c r="T6" s="1">
        <v>17061</v>
      </c>
      <c r="U6" s="1">
        <v>16750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14132</v>
      </c>
      <c r="S7" s="1">
        <v>12485</v>
      </c>
      <c r="T7" s="1">
        <v>17315</v>
      </c>
      <c r="U7" s="1">
        <v>16611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17365</v>
      </c>
      <c r="S8" s="1">
        <v>14594</v>
      </c>
      <c r="T8" s="1">
        <v>19184</v>
      </c>
      <c r="U8" s="1">
        <v>23052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">
        <v>17850</v>
      </c>
      <c r="S9" s="1">
        <v>23124</v>
      </c>
      <c r="T9" s="1">
        <v>16560</v>
      </c>
      <c r="U9" s="1">
        <v>23701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18854</v>
      </c>
      <c r="S10" s="1">
        <v>23063</v>
      </c>
      <c r="T10" s="1">
        <v>16048</v>
      </c>
      <c r="U10" s="1">
        <v>30734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19285</v>
      </c>
      <c r="S11" s="1">
        <v>18594</v>
      </c>
      <c r="T11" s="1">
        <v>20626</v>
      </c>
      <c r="U11" s="1">
        <v>34902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19426</v>
      </c>
      <c r="S12" s="1">
        <v>16102</v>
      </c>
      <c r="T12" s="1">
        <v>21086</v>
      </c>
      <c r="U12" s="1">
        <v>32824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17309</v>
      </c>
      <c r="S13" s="1">
        <v>16851</v>
      </c>
      <c r="T13" s="1">
        <v>27434</v>
      </c>
      <c r="U13" s="1">
        <v>31908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2</v>
      </c>
      <c r="R14" s="1">
        <v>14402</v>
      </c>
      <c r="S14" s="1">
        <v>22795</v>
      </c>
      <c r="T14" s="1">
        <v>18952</v>
      </c>
      <c r="U14" s="1">
        <v>33029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12057</v>
      </c>
      <c r="R15" s="1">
        <v>14391</v>
      </c>
      <c r="S15" s="1">
        <v>19188</v>
      </c>
      <c r="T15" s="1">
        <v>22366</v>
      </c>
      <c r="U15" s="1">
        <v>28628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12540</v>
      </c>
      <c r="R16" s="1">
        <v>14262</v>
      </c>
      <c r="S16" s="1">
        <v>15640</v>
      </c>
      <c r="T16" s="1">
        <v>16996</v>
      </c>
      <c r="U16" s="1">
        <v>39848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24599</v>
      </c>
      <c r="R17" s="126">
        <f t="shared" ref="R17" si="0">SUM(R5:R16)</f>
        <v>195787</v>
      </c>
      <c r="S17" s="126">
        <f>SUM(S5:S16)</f>
        <v>212258</v>
      </c>
      <c r="T17" s="126">
        <f t="shared" ref="T17" si="1">SUM(T5:T16)</f>
        <v>232678</v>
      </c>
      <c r="U17" s="126">
        <f>SUM(U5:U16)</f>
        <v>341280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395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643</v>
      </c>
      <c r="S24" s="1">
        <v>1597</v>
      </c>
      <c r="T24" s="1">
        <v>1129</v>
      </c>
      <c r="U24" s="1">
        <v>961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395</v>
      </c>
      <c r="S25" s="117">
        <v>909</v>
      </c>
      <c r="T25" s="1">
        <v>786</v>
      </c>
      <c r="U25" s="1">
        <v>785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7">
        <v>342</v>
      </c>
      <c r="S26" s="117">
        <v>888</v>
      </c>
      <c r="T26" s="1">
        <v>761</v>
      </c>
      <c r="U26" s="1">
        <v>730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563</v>
      </c>
      <c r="S27" s="117">
        <v>922</v>
      </c>
      <c r="T27" s="1">
        <v>1191</v>
      </c>
      <c r="U27" s="1">
        <v>981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1134</v>
      </c>
      <c r="S28" s="117">
        <v>931</v>
      </c>
      <c r="T28" s="1">
        <v>856</v>
      </c>
      <c r="U28" s="1">
        <v>1012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1462</v>
      </c>
      <c r="S29" s="117">
        <v>965</v>
      </c>
      <c r="T29" s="1">
        <v>2019</v>
      </c>
      <c r="U29" s="1">
        <v>1139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1308</v>
      </c>
      <c r="S30" s="1">
        <v>1472</v>
      </c>
      <c r="T30" s="1">
        <v>963</v>
      </c>
      <c r="U30" s="1">
        <v>1414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1030</v>
      </c>
      <c r="S31" s="1">
        <v>7109</v>
      </c>
      <c r="T31" s="1">
        <v>1302</v>
      </c>
      <c r="U31" s="1">
        <v>1001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117">
        <v>993</v>
      </c>
      <c r="S32" s="117">
        <v>931</v>
      </c>
      <c r="T32" s="1">
        <v>1093</v>
      </c>
      <c r="U32" s="1">
        <v>1330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1373</v>
      </c>
      <c r="S33" s="1">
        <v>1190</v>
      </c>
      <c r="T33" s="1">
        <v>2040</v>
      </c>
      <c r="U33" s="1">
        <v>949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448</v>
      </c>
      <c r="R34" s="117">
        <v>932</v>
      </c>
      <c r="S34" s="1">
        <v>1202</v>
      </c>
      <c r="T34" s="1">
        <v>2392</v>
      </c>
      <c r="U34" s="1">
        <v>1091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681</v>
      </c>
      <c r="R35" s="95">
        <v>988</v>
      </c>
      <c r="S35" s="1">
        <v>1948</v>
      </c>
      <c r="T35" s="1">
        <v>948</v>
      </c>
      <c r="U35" s="1">
        <v>1002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1129</v>
      </c>
      <c r="R36" s="126">
        <f t="shared" ref="R36" si="2">SUM(R24:R35)</f>
        <v>11163</v>
      </c>
      <c r="S36" s="126">
        <f>SUM(S24:S35)</f>
        <v>20064</v>
      </c>
      <c r="T36" s="126">
        <f t="shared" ref="T36" si="3">SUM(T24:T35)</f>
        <v>15480</v>
      </c>
      <c r="U36" s="126">
        <f>SUM(U24:U35)</f>
        <v>12395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396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-123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0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0</v>
      </c>
      <c r="S54" s="126">
        <f>SUM(S42:S53)</f>
        <v>0</v>
      </c>
      <c r="T54" s="126">
        <f t="shared" ref="T54" si="5">SUM(T42:T53)</f>
        <v>0</v>
      </c>
      <c r="U54" s="126">
        <f>SUM(U42:U53)</f>
        <v>-123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2:U72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2.28515625" bestFit="1" customWidth="1"/>
    <col min="2" max="3" width="5.140625" bestFit="1" customWidth="1"/>
    <col min="4" max="8" width="10.7109375" bestFit="1" customWidth="1"/>
    <col min="9" max="10" width="10.140625" bestFit="1" customWidth="1"/>
    <col min="11" max="11" width="8.7109375" bestFit="1" customWidth="1"/>
    <col min="12" max="12" width="8.85546875" customWidth="1"/>
    <col min="13" max="13" width="9.7109375" bestFit="1" customWidth="1"/>
    <col min="14" max="15" width="8.7109375" bestFit="1" customWidth="1"/>
    <col min="17" max="17" width="9.42578125" customWidth="1"/>
    <col min="18" max="21" width="10.7109375" bestFit="1" customWidth="1"/>
  </cols>
  <sheetData>
    <row r="2" spans="1:21" x14ac:dyDescent="0.2">
      <c r="A2" s="24" t="s">
        <v>28</v>
      </c>
      <c r="B2" s="148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L4" s="94"/>
    </row>
    <row r="5" spans="1:21" x14ac:dyDescent="0.2">
      <c r="A5" s="26" t="s">
        <v>0</v>
      </c>
      <c r="B5" s="1"/>
      <c r="C5" s="7"/>
      <c r="D5" s="2">
        <v>4</v>
      </c>
      <c r="E5" s="2">
        <v>164796.78</v>
      </c>
      <c r="F5" s="2">
        <v>172824.39</v>
      </c>
      <c r="G5" s="2">
        <v>197747</v>
      </c>
      <c r="H5" s="2">
        <v>179521</v>
      </c>
      <c r="I5" s="2">
        <v>163456</v>
      </c>
      <c r="J5" s="2">
        <v>213079</v>
      </c>
      <c r="K5" s="2">
        <v>191501</v>
      </c>
      <c r="L5" s="102">
        <v>4854</v>
      </c>
      <c r="M5" s="117">
        <v>1811</v>
      </c>
      <c r="N5" s="117">
        <v>0</v>
      </c>
      <c r="O5" s="117">
        <v>0</v>
      </c>
      <c r="P5" s="117">
        <v>0</v>
      </c>
      <c r="Q5" s="117">
        <v>0</v>
      </c>
      <c r="R5" s="1">
        <v>175515</v>
      </c>
      <c r="S5" s="1">
        <v>205041</v>
      </c>
      <c r="T5" s="1">
        <v>198378</v>
      </c>
      <c r="U5" s="1">
        <v>237694</v>
      </c>
    </row>
    <row r="6" spans="1:21" x14ac:dyDescent="0.2">
      <c r="A6" s="26" t="s">
        <v>1</v>
      </c>
      <c r="B6" s="1"/>
      <c r="C6" s="7"/>
      <c r="D6" s="2">
        <f>85058+968</f>
        <v>86026</v>
      </c>
      <c r="E6" s="2">
        <f>119357.09-112</f>
        <v>119245.09</v>
      </c>
      <c r="F6" s="2">
        <v>124451.98</v>
      </c>
      <c r="G6" s="1">
        <v>157304</v>
      </c>
      <c r="H6" s="2">
        <v>118179</v>
      </c>
      <c r="I6" s="2">
        <v>122814</v>
      </c>
      <c r="J6" s="2">
        <v>142441</v>
      </c>
      <c r="K6" s="2">
        <v>5873</v>
      </c>
      <c r="L6" s="102">
        <v>1018</v>
      </c>
      <c r="M6" s="117">
        <v>730</v>
      </c>
      <c r="N6" s="117">
        <v>0</v>
      </c>
      <c r="O6" s="117">
        <v>0</v>
      </c>
      <c r="P6" s="117">
        <v>0</v>
      </c>
      <c r="Q6" s="117">
        <v>0</v>
      </c>
      <c r="R6" s="1">
        <v>132576</v>
      </c>
      <c r="S6" s="1">
        <v>170355</v>
      </c>
      <c r="T6" s="1">
        <v>180670</v>
      </c>
      <c r="U6" s="1">
        <v>198311</v>
      </c>
    </row>
    <row r="7" spans="1:21" x14ac:dyDescent="0.2">
      <c r="A7" s="26" t="s">
        <v>2</v>
      </c>
      <c r="B7" s="1"/>
      <c r="C7" s="7"/>
      <c r="D7" s="2">
        <v>106519</v>
      </c>
      <c r="E7" s="2">
        <v>107330.42</v>
      </c>
      <c r="F7" s="2">
        <v>125285.1</v>
      </c>
      <c r="G7" s="1">
        <v>118569</v>
      </c>
      <c r="H7" s="2">
        <v>120083</v>
      </c>
      <c r="I7" s="2">
        <v>130198</v>
      </c>
      <c r="J7" s="2">
        <v>145460</v>
      </c>
      <c r="K7" s="2">
        <v>1157</v>
      </c>
      <c r="L7" s="106">
        <v>-15</v>
      </c>
      <c r="M7" s="117">
        <v>1448</v>
      </c>
      <c r="N7" s="117">
        <v>0</v>
      </c>
      <c r="O7" s="117">
        <v>475</v>
      </c>
      <c r="P7" s="117">
        <v>0</v>
      </c>
      <c r="Q7" s="117">
        <v>0</v>
      </c>
      <c r="R7" s="113">
        <v>140315</v>
      </c>
      <c r="S7" s="1">
        <v>156494</v>
      </c>
      <c r="T7" s="1">
        <v>181190</v>
      </c>
      <c r="U7" s="1">
        <v>192448</v>
      </c>
    </row>
    <row r="8" spans="1:21" x14ac:dyDescent="0.2">
      <c r="A8" s="26" t="s">
        <v>3</v>
      </c>
      <c r="B8" s="1"/>
      <c r="C8" s="7"/>
      <c r="D8" s="2">
        <f>116223+1057</f>
        <v>117280</v>
      </c>
      <c r="E8" s="2">
        <v>132583.51999999999</v>
      </c>
      <c r="F8" s="2">
        <v>131835.25</v>
      </c>
      <c r="G8" s="1">
        <v>130003</v>
      </c>
      <c r="H8" s="2">
        <v>135773</v>
      </c>
      <c r="I8" s="2">
        <v>124321</v>
      </c>
      <c r="J8" s="2">
        <v>156824</v>
      </c>
      <c r="K8" s="2">
        <v>1644</v>
      </c>
      <c r="L8" s="106">
        <v>90</v>
      </c>
      <c r="M8" s="117">
        <v>5</v>
      </c>
      <c r="N8" s="117">
        <v>95</v>
      </c>
      <c r="O8" s="117">
        <v>0</v>
      </c>
      <c r="P8" s="117">
        <v>0</v>
      </c>
      <c r="Q8" s="117">
        <v>0</v>
      </c>
      <c r="R8" s="117">
        <v>147192</v>
      </c>
      <c r="S8" s="1">
        <v>212157</v>
      </c>
      <c r="T8" s="1">
        <v>204020</v>
      </c>
      <c r="U8" s="1">
        <v>233076</v>
      </c>
    </row>
    <row r="9" spans="1:21" x14ac:dyDescent="0.2">
      <c r="A9" s="26" t="s">
        <v>4</v>
      </c>
      <c r="B9" s="1"/>
      <c r="C9" s="7"/>
      <c r="D9" s="2">
        <f>117164+10</f>
        <v>117174</v>
      </c>
      <c r="E9" s="2">
        <v>129804.35</v>
      </c>
      <c r="F9" s="2">
        <v>137727.69</v>
      </c>
      <c r="G9" s="1">
        <v>137639</v>
      </c>
      <c r="H9" s="2">
        <v>134768</v>
      </c>
      <c r="I9" s="2">
        <v>158871</v>
      </c>
      <c r="J9" s="2">
        <v>150908</v>
      </c>
      <c r="K9" s="2">
        <v>781</v>
      </c>
      <c r="L9" s="106">
        <v>269</v>
      </c>
      <c r="M9" s="117">
        <v>3</v>
      </c>
      <c r="N9" s="117">
        <v>0</v>
      </c>
      <c r="O9" s="117">
        <v>0</v>
      </c>
      <c r="P9" s="117">
        <v>358</v>
      </c>
      <c r="Q9" s="117">
        <v>0</v>
      </c>
      <c r="R9" s="117">
        <v>151839</v>
      </c>
      <c r="S9" s="1">
        <v>189228</v>
      </c>
      <c r="T9" s="1">
        <v>224444</v>
      </c>
      <c r="U9" s="1">
        <v>224546</v>
      </c>
    </row>
    <row r="10" spans="1:21" x14ac:dyDescent="0.2">
      <c r="A10" s="26" t="s">
        <v>5</v>
      </c>
      <c r="B10" s="1"/>
      <c r="C10" s="7"/>
      <c r="D10" s="2">
        <f>130985+19</f>
        <v>131004</v>
      </c>
      <c r="E10" s="2">
        <f>142607.01+491</f>
        <v>143098.01</v>
      </c>
      <c r="F10" s="2">
        <f>157219.57-3109</f>
        <v>154110.57</v>
      </c>
      <c r="G10" s="1">
        <v>140328</v>
      </c>
      <c r="H10" s="2">
        <v>144165</v>
      </c>
      <c r="I10" s="2">
        <v>143486</v>
      </c>
      <c r="J10" s="2">
        <v>143475</v>
      </c>
      <c r="K10" s="2">
        <v>1536</v>
      </c>
      <c r="L10" s="106">
        <v>36</v>
      </c>
      <c r="M10" s="117">
        <v>-236</v>
      </c>
      <c r="N10" s="117">
        <v>463</v>
      </c>
      <c r="O10" s="117">
        <v>56</v>
      </c>
      <c r="P10" s="117">
        <v>0</v>
      </c>
      <c r="Q10" s="117">
        <v>0</v>
      </c>
      <c r="R10" s="113">
        <v>177452</v>
      </c>
      <c r="S10" s="1">
        <v>196838</v>
      </c>
      <c r="T10" s="1">
        <v>277244</v>
      </c>
      <c r="U10" s="1">
        <v>265922</v>
      </c>
    </row>
    <row r="11" spans="1:21" x14ac:dyDescent="0.2">
      <c r="A11" s="26" t="s">
        <v>6</v>
      </c>
      <c r="B11" s="1"/>
      <c r="C11" s="7"/>
      <c r="D11" s="2">
        <f>123058+293</f>
        <v>123351</v>
      </c>
      <c r="E11" s="2">
        <v>130903.75</v>
      </c>
      <c r="F11" s="2">
        <v>134095.71</v>
      </c>
      <c r="G11" s="1">
        <v>117349</v>
      </c>
      <c r="H11" s="2">
        <v>139881</v>
      </c>
      <c r="I11" s="2">
        <v>143709</v>
      </c>
      <c r="J11" s="2">
        <v>161623</v>
      </c>
      <c r="K11" s="2">
        <v>1683</v>
      </c>
      <c r="L11" s="106">
        <v>2442</v>
      </c>
      <c r="M11" s="117">
        <v>-328</v>
      </c>
      <c r="N11" s="117">
        <v>2</v>
      </c>
      <c r="O11" s="117">
        <v>0</v>
      </c>
      <c r="P11" s="117">
        <v>0</v>
      </c>
      <c r="Q11" s="117">
        <v>0</v>
      </c>
      <c r="R11" s="1">
        <v>150960</v>
      </c>
      <c r="S11" s="1">
        <v>203098</v>
      </c>
      <c r="T11" s="1">
        <v>247204</v>
      </c>
      <c r="U11" s="1">
        <v>269771</v>
      </c>
    </row>
    <row r="12" spans="1:21" x14ac:dyDescent="0.2">
      <c r="A12" s="26" t="s">
        <v>7</v>
      </c>
      <c r="B12" s="1"/>
      <c r="C12" s="7"/>
      <c r="D12" s="2">
        <f>139426+3</f>
        <v>139429</v>
      </c>
      <c r="E12" s="2">
        <v>157258</v>
      </c>
      <c r="F12" s="2">
        <f>162960.52-1964</f>
        <v>160996.51999999999</v>
      </c>
      <c r="G12" s="1">
        <v>173976</v>
      </c>
      <c r="H12" s="2">
        <v>152817</v>
      </c>
      <c r="I12" s="2">
        <v>148326</v>
      </c>
      <c r="J12" s="2">
        <v>188726</v>
      </c>
      <c r="K12" s="2">
        <v>21070</v>
      </c>
      <c r="L12" s="106">
        <v>2770</v>
      </c>
      <c r="M12" s="117">
        <v>2459</v>
      </c>
      <c r="N12" s="117">
        <v>-30</v>
      </c>
      <c r="O12" s="117">
        <v>9</v>
      </c>
      <c r="P12" s="117">
        <v>0</v>
      </c>
      <c r="Q12" s="117">
        <v>0</v>
      </c>
      <c r="R12" s="1">
        <v>216525</v>
      </c>
      <c r="S12" s="1">
        <v>217878</v>
      </c>
      <c r="T12" s="1">
        <v>252681</v>
      </c>
      <c r="U12" s="1">
        <v>235856</v>
      </c>
    </row>
    <row r="13" spans="1:21" x14ac:dyDescent="0.2">
      <c r="A13" s="26" t="s">
        <v>8</v>
      </c>
      <c r="B13" s="1"/>
      <c r="C13" s="7"/>
      <c r="D13" s="2">
        <v>121051.05</v>
      </c>
      <c r="E13" s="2">
        <v>135381.95000000001</v>
      </c>
      <c r="F13" s="2">
        <v>141342.44</v>
      </c>
      <c r="G13" s="1">
        <v>126668</v>
      </c>
      <c r="H13" s="2">
        <v>139653</v>
      </c>
      <c r="I13" s="2">
        <v>156374</v>
      </c>
      <c r="J13" s="2">
        <v>172562</v>
      </c>
      <c r="K13" s="2">
        <v>4264</v>
      </c>
      <c r="L13" s="106">
        <v>0</v>
      </c>
      <c r="M13" s="117">
        <v>-133</v>
      </c>
      <c r="N13" s="117">
        <v>14</v>
      </c>
      <c r="O13" s="117">
        <v>0</v>
      </c>
      <c r="P13" s="117">
        <v>0</v>
      </c>
      <c r="Q13" s="117">
        <v>0</v>
      </c>
      <c r="R13" s="2">
        <v>174955</v>
      </c>
      <c r="S13" s="1">
        <v>187017</v>
      </c>
      <c r="T13" s="1">
        <v>241756</v>
      </c>
      <c r="U13" s="1">
        <v>246466</v>
      </c>
    </row>
    <row r="14" spans="1:21" x14ac:dyDescent="0.2">
      <c r="A14" s="26" t="s">
        <v>9</v>
      </c>
      <c r="B14" s="1"/>
      <c r="C14" s="7"/>
      <c r="D14" s="2">
        <v>128717.63</v>
      </c>
      <c r="E14" s="2">
        <f>139828.59-301</f>
        <v>139527.59</v>
      </c>
      <c r="F14" s="2">
        <f>145512.61+8+24-28</f>
        <v>145516.60999999999</v>
      </c>
      <c r="G14" s="1">
        <v>159379</v>
      </c>
      <c r="H14" s="2">
        <v>147505</v>
      </c>
      <c r="I14" s="2">
        <v>166025</v>
      </c>
      <c r="J14" s="2">
        <v>159900</v>
      </c>
      <c r="K14" s="2">
        <v>1922</v>
      </c>
      <c r="L14" s="106">
        <v>-44</v>
      </c>
      <c r="M14" s="117">
        <v>0</v>
      </c>
      <c r="N14" s="117">
        <v>5</v>
      </c>
      <c r="O14" s="117">
        <v>0</v>
      </c>
      <c r="P14" s="117">
        <v>0</v>
      </c>
      <c r="Q14" s="117">
        <v>12</v>
      </c>
      <c r="R14" s="1">
        <v>176775</v>
      </c>
      <c r="S14" s="1">
        <v>217436</v>
      </c>
      <c r="T14" s="1">
        <v>240223</v>
      </c>
      <c r="U14" s="1">
        <v>258376</v>
      </c>
    </row>
    <row r="15" spans="1:21" x14ac:dyDescent="0.2">
      <c r="A15" s="26" t="s">
        <v>10</v>
      </c>
      <c r="B15" s="53"/>
      <c r="C15" s="11"/>
      <c r="D15" s="2">
        <v>125121.38</v>
      </c>
      <c r="E15" s="2">
        <v>131306.93</v>
      </c>
      <c r="F15" s="2"/>
      <c r="G15" s="1">
        <v>132284</v>
      </c>
      <c r="H15" s="2">
        <v>134873</v>
      </c>
      <c r="I15" s="2">
        <v>157192</v>
      </c>
      <c r="J15" s="2">
        <v>149283</v>
      </c>
      <c r="K15" s="2">
        <v>2128</v>
      </c>
      <c r="L15" s="106">
        <v>97</v>
      </c>
      <c r="M15" s="117">
        <v>-1523</v>
      </c>
      <c r="N15" s="117">
        <v>0</v>
      </c>
      <c r="O15" s="117">
        <v>0</v>
      </c>
      <c r="P15" s="117">
        <v>0</v>
      </c>
      <c r="Q15" s="117">
        <v>142848</v>
      </c>
      <c r="R15" s="1">
        <v>169781</v>
      </c>
      <c r="S15" s="1">
        <v>190777</v>
      </c>
      <c r="T15" s="1">
        <v>237992</v>
      </c>
      <c r="U15" s="1">
        <v>234079</v>
      </c>
    </row>
    <row r="16" spans="1:21" x14ac:dyDescent="0.2">
      <c r="A16" s="26" t="s">
        <v>11</v>
      </c>
      <c r="B16" s="39"/>
      <c r="C16" s="9"/>
      <c r="D16" s="39">
        <v>129094.99</v>
      </c>
      <c r="E16" s="39">
        <f>138822.05-81</f>
        <v>138741.04999999999</v>
      </c>
      <c r="F16" s="39">
        <v>219822</v>
      </c>
      <c r="G16" s="39">
        <v>138524</v>
      </c>
      <c r="H16" s="40">
        <v>145807</v>
      </c>
      <c r="I16" s="40">
        <v>164067</v>
      </c>
      <c r="J16" s="40">
        <v>161711</v>
      </c>
      <c r="K16" s="40">
        <v>2094</v>
      </c>
      <c r="L16" s="108">
        <v>12209</v>
      </c>
      <c r="M16" s="95">
        <v>147</v>
      </c>
      <c r="N16" s="95">
        <v>587</v>
      </c>
      <c r="O16" s="95">
        <v>-6452</v>
      </c>
      <c r="P16" s="95">
        <v>-48</v>
      </c>
      <c r="Q16" s="95">
        <v>166928</v>
      </c>
      <c r="R16" s="1">
        <v>178834</v>
      </c>
      <c r="S16" s="1">
        <v>184189</v>
      </c>
      <c r="T16" s="1">
        <v>284303</v>
      </c>
      <c r="U16" s="1">
        <v>237129</v>
      </c>
    </row>
    <row r="17" spans="1:21" x14ac:dyDescent="0.2">
      <c r="A17" s="25"/>
      <c r="B17" s="46"/>
      <c r="C17" s="46"/>
      <c r="D17" s="41">
        <f t="shared" ref="D17:J17" si="0">SUM(D5:D16)</f>
        <v>1324772.05</v>
      </c>
      <c r="E17" s="41">
        <f t="shared" si="0"/>
        <v>1629977.44</v>
      </c>
      <c r="F17" s="41">
        <f t="shared" si="0"/>
        <v>1648008.2599999998</v>
      </c>
      <c r="G17" s="41">
        <f t="shared" si="0"/>
        <v>1729770</v>
      </c>
      <c r="H17" s="41">
        <f t="shared" si="0"/>
        <v>1693025</v>
      </c>
      <c r="I17" s="44">
        <f t="shared" si="0"/>
        <v>1778839</v>
      </c>
      <c r="J17" s="44">
        <f t="shared" si="0"/>
        <v>1945992</v>
      </c>
      <c r="K17" s="44">
        <f t="shared" ref="K17:P17" si="1">SUM(K5:K16)</f>
        <v>235653</v>
      </c>
      <c r="L17" s="96">
        <f t="shared" si="1"/>
        <v>23726</v>
      </c>
      <c r="M17" s="96">
        <f t="shared" si="1"/>
        <v>4383</v>
      </c>
      <c r="N17" s="96">
        <f t="shared" si="1"/>
        <v>1136</v>
      </c>
      <c r="O17" s="96">
        <f t="shared" si="1"/>
        <v>-5912</v>
      </c>
      <c r="P17" s="96">
        <f t="shared" si="1"/>
        <v>310</v>
      </c>
      <c r="Q17" s="96">
        <f t="shared" ref="Q17:S17" si="2">SUM(Q5:Q16)</f>
        <v>309788</v>
      </c>
      <c r="R17" s="126">
        <f t="shared" ref="R17" si="3">SUM(R5:R16)</f>
        <v>1992719</v>
      </c>
      <c r="S17" s="126">
        <f t="shared" si="2"/>
        <v>2330508</v>
      </c>
      <c r="T17" s="126">
        <f t="shared" ref="T17:U17" si="4">SUM(T5:T16)</f>
        <v>2770105</v>
      </c>
      <c r="U17" s="126">
        <f t="shared" si="4"/>
        <v>2833674</v>
      </c>
    </row>
    <row r="18" spans="1:21" x14ac:dyDescent="0.2">
      <c r="A18" s="25"/>
      <c r="G18" s="7"/>
      <c r="H18" s="2"/>
      <c r="L18" s="94"/>
    </row>
    <row r="19" spans="1:21" x14ac:dyDescent="0.2">
      <c r="A19" s="25"/>
      <c r="F19" s="35" t="s">
        <v>110</v>
      </c>
      <c r="H19" s="2"/>
      <c r="L19" t="s">
        <v>164</v>
      </c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29</v>
      </c>
      <c r="B21" s="148">
        <v>5.0000000000000001E-3</v>
      </c>
      <c r="D21" s="94" t="s">
        <v>372</v>
      </c>
      <c r="H21" s="2"/>
      <c r="L21" s="94"/>
    </row>
    <row r="22" spans="1:21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H23" s="2"/>
    </row>
    <row r="24" spans="1:21" x14ac:dyDescent="0.2">
      <c r="A24" s="26" t="s">
        <v>0</v>
      </c>
      <c r="B24" s="1"/>
      <c r="C24" s="1"/>
      <c r="D24" s="1">
        <v>0</v>
      </c>
      <c r="E24" s="1">
        <v>17693</v>
      </c>
      <c r="F24" s="1">
        <v>13351</v>
      </c>
      <c r="G24" s="1">
        <v>8725</v>
      </c>
      <c r="H24" s="2">
        <v>10684</v>
      </c>
      <c r="I24" s="2">
        <v>11818</v>
      </c>
      <c r="J24" s="2">
        <v>13080</v>
      </c>
      <c r="K24" s="2">
        <v>172371</v>
      </c>
      <c r="L24" s="102">
        <v>1331</v>
      </c>
      <c r="M24" s="117">
        <v>7</v>
      </c>
      <c r="N24" s="117">
        <v>0</v>
      </c>
      <c r="O24" s="117">
        <v>0</v>
      </c>
      <c r="P24" s="117">
        <v>0</v>
      </c>
      <c r="Q24" s="117">
        <v>0</v>
      </c>
      <c r="R24" s="1">
        <v>13259</v>
      </c>
      <c r="S24" s="1">
        <v>7228</v>
      </c>
      <c r="T24" s="1">
        <v>9605</v>
      </c>
      <c r="U24" s="1">
        <v>10187</v>
      </c>
    </row>
    <row r="25" spans="1:21" x14ac:dyDescent="0.2">
      <c r="A25" s="26" t="s">
        <v>1</v>
      </c>
      <c r="B25" s="1"/>
      <c r="C25" s="1"/>
      <c r="D25" s="2">
        <v>10009</v>
      </c>
      <c r="E25" s="2">
        <v>11225</v>
      </c>
      <c r="F25" s="2">
        <v>6332</v>
      </c>
      <c r="G25" s="1">
        <v>6697</v>
      </c>
      <c r="H25" s="2">
        <v>5642</v>
      </c>
      <c r="I25" s="2">
        <v>4719</v>
      </c>
      <c r="J25" s="2">
        <v>7282</v>
      </c>
      <c r="K25" s="2">
        <v>681</v>
      </c>
      <c r="L25" s="102">
        <v>155</v>
      </c>
      <c r="M25" s="117">
        <v>-8</v>
      </c>
      <c r="N25" s="117">
        <v>0</v>
      </c>
      <c r="O25" s="117">
        <v>0</v>
      </c>
      <c r="P25" s="117">
        <v>0</v>
      </c>
      <c r="Q25" s="117">
        <v>0</v>
      </c>
      <c r="R25" s="113">
        <v>14949</v>
      </c>
      <c r="S25" s="1">
        <v>3486</v>
      </c>
      <c r="T25" s="1">
        <v>8556</v>
      </c>
      <c r="U25" s="1">
        <v>17732</v>
      </c>
    </row>
    <row r="26" spans="1:21" x14ac:dyDescent="0.2">
      <c r="A26" s="26" t="s">
        <v>2</v>
      </c>
      <c r="B26" s="1"/>
      <c r="C26" s="1"/>
      <c r="D26" s="2">
        <v>11059</v>
      </c>
      <c r="E26" s="2">
        <v>11387</v>
      </c>
      <c r="F26" s="2">
        <f>7514.18-35</f>
        <v>7479.18</v>
      </c>
      <c r="G26" s="1">
        <v>4776</v>
      </c>
      <c r="H26" s="2">
        <v>5350</v>
      </c>
      <c r="I26" s="2">
        <v>4186</v>
      </c>
      <c r="J26" s="2">
        <v>8642</v>
      </c>
      <c r="K26" s="2">
        <v>2394</v>
      </c>
      <c r="L26" s="102">
        <v>17013</v>
      </c>
      <c r="M26" s="117">
        <v>9272</v>
      </c>
      <c r="N26" s="117">
        <v>0</v>
      </c>
      <c r="O26" s="117">
        <v>0</v>
      </c>
      <c r="P26" s="117">
        <v>0</v>
      </c>
      <c r="Q26" s="117">
        <v>0</v>
      </c>
      <c r="R26" s="113">
        <v>7888</v>
      </c>
      <c r="S26" s="1">
        <v>3379</v>
      </c>
      <c r="T26" s="1">
        <v>6864</v>
      </c>
      <c r="U26" s="1">
        <v>8264</v>
      </c>
    </row>
    <row r="27" spans="1:21" x14ac:dyDescent="0.2">
      <c r="A27" s="26" t="s">
        <v>3</v>
      </c>
      <c r="B27" s="1"/>
      <c r="C27" s="1"/>
      <c r="D27" s="2">
        <v>12978</v>
      </c>
      <c r="E27" s="2">
        <v>22875.200000000001</v>
      </c>
      <c r="F27" s="2">
        <v>7283</v>
      </c>
      <c r="G27" s="1">
        <v>9199</v>
      </c>
      <c r="H27" s="2">
        <v>10012</v>
      </c>
      <c r="I27" s="2">
        <v>7310</v>
      </c>
      <c r="J27" s="2">
        <v>5376</v>
      </c>
      <c r="K27" s="2">
        <v>1074</v>
      </c>
      <c r="L27" s="102">
        <v>693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12895</v>
      </c>
      <c r="S27" s="1">
        <v>5387</v>
      </c>
      <c r="T27" s="1">
        <v>13331</v>
      </c>
      <c r="U27" s="1">
        <v>10309</v>
      </c>
    </row>
    <row r="28" spans="1:21" x14ac:dyDescent="0.2">
      <c r="A28" s="26" t="s">
        <v>4</v>
      </c>
      <c r="B28" s="1"/>
      <c r="C28" s="1"/>
      <c r="D28" s="2">
        <v>12191</v>
      </c>
      <c r="E28" s="2">
        <v>14146</v>
      </c>
      <c r="F28" s="2">
        <v>8655.0300000000007</v>
      </c>
      <c r="G28" s="1">
        <v>7981</v>
      </c>
      <c r="H28" s="2">
        <v>5377</v>
      </c>
      <c r="I28" s="2">
        <v>7735</v>
      </c>
      <c r="J28" s="2">
        <v>7627</v>
      </c>
      <c r="K28" s="2">
        <v>1102</v>
      </c>
      <c r="L28" s="102">
        <v>2160</v>
      </c>
      <c r="M28" s="117">
        <v>0</v>
      </c>
      <c r="N28" s="117">
        <v>0</v>
      </c>
      <c r="O28" s="117">
        <v>0</v>
      </c>
      <c r="P28" s="117">
        <v>2</v>
      </c>
      <c r="Q28" s="117">
        <v>0</v>
      </c>
      <c r="R28" s="117">
        <v>5962</v>
      </c>
      <c r="S28" s="1">
        <v>6122</v>
      </c>
      <c r="T28" s="1">
        <v>12836</v>
      </c>
      <c r="U28" s="1">
        <v>9089</v>
      </c>
    </row>
    <row r="29" spans="1:21" x14ac:dyDescent="0.2">
      <c r="A29" s="26" t="s">
        <v>5</v>
      </c>
      <c r="B29" s="1"/>
      <c r="C29" s="1"/>
      <c r="D29" s="2">
        <v>14498</v>
      </c>
      <c r="E29" s="2">
        <v>14208</v>
      </c>
      <c r="F29" s="2">
        <f>6969+3109</f>
        <v>10078</v>
      </c>
      <c r="G29" s="1">
        <v>6302</v>
      </c>
      <c r="H29" s="2">
        <v>3099</v>
      </c>
      <c r="I29" s="2">
        <v>8037</v>
      </c>
      <c r="J29" s="2">
        <v>9058</v>
      </c>
      <c r="K29" s="2">
        <v>1321</v>
      </c>
      <c r="L29" s="102">
        <v>104</v>
      </c>
      <c r="M29" s="117">
        <v>-158746</v>
      </c>
      <c r="N29" s="117">
        <v>0</v>
      </c>
      <c r="O29" s="117">
        <v>0</v>
      </c>
      <c r="P29" s="117">
        <v>0</v>
      </c>
      <c r="Q29" s="117">
        <v>0</v>
      </c>
      <c r="R29" s="113">
        <v>6088</v>
      </c>
      <c r="S29" s="1">
        <v>5038</v>
      </c>
      <c r="T29" s="1">
        <v>12535</v>
      </c>
      <c r="U29" s="1">
        <v>10485</v>
      </c>
    </row>
    <row r="30" spans="1:21" x14ac:dyDescent="0.2">
      <c r="A30" s="26" t="s">
        <v>6</v>
      </c>
      <c r="B30" s="1"/>
      <c r="C30" s="1"/>
      <c r="D30" s="2">
        <v>11249</v>
      </c>
      <c r="E30" s="2">
        <v>11185</v>
      </c>
      <c r="F30" s="2">
        <v>5585.9</v>
      </c>
      <c r="G30" s="1">
        <v>12590</v>
      </c>
      <c r="H30" s="2">
        <v>4903</v>
      </c>
      <c r="I30" s="2">
        <v>6979</v>
      </c>
      <c r="J30" s="2">
        <v>8888</v>
      </c>
      <c r="K30" s="2">
        <v>2067</v>
      </c>
      <c r="L30" s="102">
        <v>295</v>
      </c>
      <c r="M30" s="117">
        <v>-641</v>
      </c>
      <c r="N30" s="117">
        <v>0</v>
      </c>
      <c r="O30" s="117">
        <v>0</v>
      </c>
      <c r="P30" s="117">
        <v>0</v>
      </c>
      <c r="Q30" s="117">
        <v>0</v>
      </c>
      <c r="R30" s="1">
        <v>6812</v>
      </c>
      <c r="S30" s="1">
        <v>10770</v>
      </c>
      <c r="T30" s="1">
        <v>17575</v>
      </c>
      <c r="U30" s="1">
        <v>15115</v>
      </c>
    </row>
    <row r="31" spans="1:21" x14ac:dyDescent="0.2">
      <c r="A31" s="26" t="s">
        <v>7</v>
      </c>
      <c r="B31" s="1"/>
      <c r="C31" s="1"/>
      <c r="D31" s="2">
        <v>18954</v>
      </c>
      <c r="E31" s="2">
        <v>15128</v>
      </c>
      <c r="F31" s="2">
        <f>8327.78+1964</f>
        <v>10291.780000000001</v>
      </c>
      <c r="G31" s="1">
        <v>-83525</v>
      </c>
      <c r="H31" s="2">
        <v>4572</v>
      </c>
      <c r="I31" s="2">
        <v>9238</v>
      </c>
      <c r="J31" s="2">
        <v>16709</v>
      </c>
      <c r="K31" s="2">
        <v>1426</v>
      </c>
      <c r="L31" s="102">
        <v>-1336</v>
      </c>
      <c r="M31" s="117">
        <v>648</v>
      </c>
      <c r="N31" s="117">
        <v>0</v>
      </c>
      <c r="O31" s="117">
        <v>0</v>
      </c>
      <c r="P31" s="117">
        <v>0</v>
      </c>
      <c r="Q31" s="117">
        <v>0</v>
      </c>
      <c r="R31" s="1">
        <v>18449</v>
      </c>
      <c r="S31" s="1">
        <v>6513</v>
      </c>
      <c r="T31" s="1">
        <v>23862</v>
      </c>
      <c r="U31" s="1">
        <v>12548</v>
      </c>
    </row>
    <row r="32" spans="1:21" x14ac:dyDescent="0.2">
      <c r="A32" s="26" t="s">
        <v>8</v>
      </c>
      <c r="B32" s="1"/>
      <c r="C32" s="1"/>
      <c r="D32" s="2">
        <v>16904</v>
      </c>
      <c r="E32" s="2">
        <v>17216</v>
      </c>
      <c r="F32" s="2">
        <v>7131.85</v>
      </c>
      <c r="G32" s="1">
        <v>8744</v>
      </c>
      <c r="H32" s="2">
        <v>-1972</v>
      </c>
      <c r="I32" s="2">
        <v>9057</v>
      </c>
      <c r="J32" s="2">
        <v>18394</v>
      </c>
      <c r="K32" s="2">
        <v>3424</v>
      </c>
      <c r="L32" s="102">
        <v>0</v>
      </c>
      <c r="M32" s="117">
        <v>-522</v>
      </c>
      <c r="N32" s="117">
        <v>0</v>
      </c>
      <c r="O32" s="117">
        <v>0</v>
      </c>
      <c r="P32" s="117">
        <v>0</v>
      </c>
      <c r="Q32" s="117">
        <v>0</v>
      </c>
      <c r="R32" s="2">
        <v>7162</v>
      </c>
      <c r="S32" s="1">
        <v>6975</v>
      </c>
      <c r="T32" s="1">
        <v>15883</v>
      </c>
      <c r="U32" s="1">
        <v>8819</v>
      </c>
    </row>
    <row r="33" spans="1:21" x14ac:dyDescent="0.2">
      <c r="A33" s="26" t="s">
        <v>9</v>
      </c>
      <c r="B33" s="1"/>
      <c r="C33" s="1"/>
      <c r="D33" s="2">
        <v>15068</v>
      </c>
      <c r="E33" s="2">
        <f>16412.32-63</f>
        <v>16349.32</v>
      </c>
      <c r="F33" s="2">
        <v>7701</v>
      </c>
      <c r="G33" s="1">
        <v>9051</v>
      </c>
      <c r="H33" s="2">
        <v>4369</v>
      </c>
      <c r="I33" s="2">
        <v>7371</v>
      </c>
      <c r="J33" s="2">
        <v>8546</v>
      </c>
      <c r="K33" s="2">
        <v>4005</v>
      </c>
      <c r="L33" s="102">
        <v>-15</v>
      </c>
      <c r="M33" s="117">
        <v>-284</v>
      </c>
      <c r="N33" s="117">
        <v>-41</v>
      </c>
      <c r="O33" s="117">
        <v>0</v>
      </c>
      <c r="P33" s="117">
        <v>0</v>
      </c>
      <c r="Q33" s="117">
        <v>0</v>
      </c>
      <c r="R33" s="1">
        <v>14151</v>
      </c>
      <c r="S33" s="1">
        <v>6497</v>
      </c>
      <c r="T33" s="1">
        <v>13024</v>
      </c>
      <c r="U33" s="1">
        <v>15912</v>
      </c>
    </row>
    <row r="34" spans="1:21" x14ac:dyDescent="0.2">
      <c r="A34" s="26" t="s">
        <v>10</v>
      </c>
      <c r="B34" s="53"/>
      <c r="C34" s="53"/>
      <c r="D34" s="2">
        <v>16953</v>
      </c>
      <c r="E34" s="2">
        <v>7465</v>
      </c>
      <c r="F34" s="2">
        <v>5964</v>
      </c>
      <c r="G34" s="1">
        <v>6323</v>
      </c>
      <c r="H34" s="2">
        <v>4210</v>
      </c>
      <c r="I34" s="2">
        <v>9200</v>
      </c>
      <c r="J34" s="2">
        <v>7501</v>
      </c>
      <c r="K34" s="2">
        <v>2074</v>
      </c>
      <c r="L34" s="102">
        <v>0</v>
      </c>
      <c r="M34" s="117">
        <v>-44</v>
      </c>
      <c r="N34" s="117">
        <v>0</v>
      </c>
      <c r="O34" s="117">
        <v>0</v>
      </c>
      <c r="P34" s="117">
        <v>0</v>
      </c>
      <c r="Q34" s="117">
        <v>13793</v>
      </c>
      <c r="R34" s="1">
        <v>7650</v>
      </c>
      <c r="S34" s="1">
        <v>10445</v>
      </c>
      <c r="T34" s="1">
        <v>11127</v>
      </c>
      <c r="U34" s="1">
        <v>9750</v>
      </c>
    </row>
    <row r="35" spans="1:21" x14ac:dyDescent="0.2">
      <c r="A35" s="26" t="s">
        <v>11</v>
      </c>
      <c r="B35" s="39"/>
      <c r="C35" s="39"/>
      <c r="D35" s="39">
        <v>10999</v>
      </c>
      <c r="E35" s="39">
        <v>5564.16</v>
      </c>
      <c r="F35" s="39">
        <v>13702</v>
      </c>
      <c r="G35" s="39">
        <v>7154</v>
      </c>
      <c r="H35" s="40">
        <v>4215</v>
      </c>
      <c r="I35" s="40">
        <v>6310</v>
      </c>
      <c r="J35" s="40">
        <v>7829</v>
      </c>
      <c r="K35" s="168">
        <v>1584</v>
      </c>
      <c r="L35" s="168">
        <v>129</v>
      </c>
      <c r="M35" s="168">
        <v>0</v>
      </c>
      <c r="N35" s="168">
        <v>0</v>
      </c>
      <c r="O35" s="168">
        <v>48</v>
      </c>
      <c r="P35" s="168">
        <v>0</v>
      </c>
      <c r="Q35" s="168">
        <v>7492</v>
      </c>
      <c r="R35" s="1">
        <v>5906</v>
      </c>
      <c r="S35" s="1">
        <v>8118</v>
      </c>
      <c r="T35" s="1">
        <v>12244</v>
      </c>
      <c r="U35" s="1">
        <v>-1164</v>
      </c>
    </row>
    <row r="36" spans="1:21" x14ac:dyDescent="0.2">
      <c r="A36" s="25"/>
      <c r="B36" s="46"/>
      <c r="C36" s="46"/>
      <c r="D36" s="41">
        <f>SUM(D24:D35)</f>
        <v>150862</v>
      </c>
      <c r="E36" s="41">
        <f t="shared" ref="E36:N36" si="5">SUM(E24:E35)</f>
        <v>164441.68000000002</v>
      </c>
      <c r="F36" s="41">
        <f t="shared" si="5"/>
        <v>103554.74</v>
      </c>
      <c r="G36" s="41">
        <f t="shared" si="5"/>
        <v>4017</v>
      </c>
      <c r="H36" s="41">
        <f t="shared" si="5"/>
        <v>60461</v>
      </c>
      <c r="I36" s="44">
        <f t="shared" si="5"/>
        <v>91960</v>
      </c>
      <c r="J36" s="44">
        <f t="shared" si="5"/>
        <v>118932</v>
      </c>
      <c r="K36" s="44">
        <f t="shared" si="5"/>
        <v>193523</v>
      </c>
      <c r="L36" s="96">
        <f t="shared" si="5"/>
        <v>20529</v>
      </c>
      <c r="M36" s="96">
        <f t="shared" si="5"/>
        <v>-150318</v>
      </c>
      <c r="N36" s="96">
        <f t="shared" si="5"/>
        <v>-41</v>
      </c>
      <c r="O36" s="96">
        <f>SUM(O24:O35)</f>
        <v>48</v>
      </c>
      <c r="P36" s="96">
        <f>SUM(P24:P35)</f>
        <v>2</v>
      </c>
      <c r="Q36" s="96">
        <f>SUM(Q24:Q35)</f>
        <v>21285</v>
      </c>
      <c r="R36" s="126">
        <f t="shared" ref="R36" si="6">SUM(R24:R35)</f>
        <v>121171</v>
      </c>
      <c r="S36" s="126">
        <f>SUM(S24:S35)</f>
        <v>79958</v>
      </c>
      <c r="T36" s="126">
        <f>SUM(T24:T35)</f>
        <v>157442</v>
      </c>
      <c r="U36" s="126">
        <f>SUM(U24:U35)</f>
        <v>127046</v>
      </c>
    </row>
    <row r="37" spans="1:21" x14ac:dyDescent="0.2">
      <c r="A37" s="25"/>
      <c r="G37" s="7"/>
      <c r="H37" s="2"/>
      <c r="L37" s="94"/>
    </row>
    <row r="38" spans="1:21" x14ac:dyDescent="0.2">
      <c r="H38" s="2"/>
    </row>
    <row r="39" spans="1:21" x14ac:dyDescent="0.2">
      <c r="A39" s="29" t="s">
        <v>252</v>
      </c>
      <c r="E39" s="42"/>
      <c r="F39" s="42"/>
    </row>
    <row r="40" spans="1:21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6"/>
      <c r="B41" s="151"/>
      <c r="C41" s="151"/>
      <c r="D41" s="151"/>
      <c r="E41" s="151"/>
      <c r="F41" s="159"/>
      <c r="G41" s="159"/>
      <c r="H41" s="104"/>
      <c r="I41" s="104"/>
      <c r="J41" s="151"/>
      <c r="K41" s="104"/>
      <c r="L41" s="105"/>
      <c r="M41" s="151"/>
      <c r="N41" s="151"/>
    </row>
    <row r="42" spans="1:21" x14ac:dyDescent="0.2">
      <c r="A42" s="26" t="s">
        <v>0</v>
      </c>
      <c r="B42" s="151"/>
      <c r="C42" s="151"/>
      <c r="D42" s="151"/>
      <c r="E42" s="151"/>
      <c r="F42" s="2"/>
      <c r="G42" s="2">
        <v>-499</v>
      </c>
      <c r="H42" s="2">
        <v>-31945</v>
      </c>
      <c r="I42" s="2">
        <v>-152</v>
      </c>
      <c r="J42" s="2">
        <v>-202</v>
      </c>
      <c r="K42" s="2">
        <v>-601</v>
      </c>
      <c r="L42" s="2">
        <v>-608</v>
      </c>
      <c r="M42" s="2">
        <v>0</v>
      </c>
      <c r="N42" s="2">
        <v>-10745</v>
      </c>
      <c r="O42" s="117">
        <v>0</v>
      </c>
      <c r="P42" s="117">
        <v>0</v>
      </c>
      <c r="Q42" s="117">
        <v>0</v>
      </c>
      <c r="R42" s="117">
        <v>0</v>
      </c>
      <c r="S42" s="1">
        <v>-3263</v>
      </c>
      <c r="T42" s="1">
        <v>-527</v>
      </c>
      <c r="U42" s="1">
        <v>0</v>
      </c>
    </row>
    <row r="43" spans="1:21" x14ac:dyDescent="0.2">
      <c r="A43" s="26" t="s">
        <v>1</v>
      </c>
      <c r="B43" s="151"/>
      <c r="C43" s="151"/>
      <c r="D43" s="151"/>
      <c r="E43" s="151"/>
      <c r="F43" s="2"/>
      <c r="G43" s="2">
        <v>0</v>
      </c>
      <c r="H43" s="2">
        <v>-38</v>
      </c>
      <c r="I43" s="2">
        <v>-6760</v>
      </c>
      <c r="J43" s="2">
        <v>-471</v>
      </c>
      <c r="K43" s="2">
        <v>0</v>
      </c>
      <c r="L43" s="2">
        <v>-161</v>
      </c>
      <c r="M43" s="2">
        <v>-491</v>
      </c>
      <c r="N43" s="2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-77</v>
      </c>
      <c r="T43" s="117">
        <v>-62</v>
      </c>
      <c r="U43" s="117">
        <v>0</v>
      </c>
    </row>
    <row r="44" spans="1:21" x14ac:dyDescent="0.2">
      <c r="A44" s="26" t="s">
        <v>2</v>
      </c>
      <c r="B44" s="151"/>
      <c r="C44" s="151"/>
      <c r="D44" s="151"/>
      <c r="E44" s="151"/>
      <c r="F44" s="2"/>
      <c r="G44" s="2">
        <v>-144</v>
      </c>
      <c r="H44" s="2">
        <v>-409</v>
      </c>
      <c r="I44" s="2">
        <v>-2807</v>
      </c>
      <c r="J44" s="2">
        <v>-2</v>
      </c>
      <c r="K44" s="2">
        <v>-1176</v>
      </c>
      <c r="L44" s="2">
        <v>-496</v>
      </c>
      <c r="M44" s="2">
        <v>-178</v>
      </c>
      <c r="N44" s="2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-401</v>
      </c>
      <c r="T44" s="117">
        <v>-529</v>
      </c>
      <c r="U44" s="117">
        <v>-16</v>
      </c>
    </row>
    <row r="45" spans="1:21" x14ac:dyDescent="0.2">
      <c r="A45" s="26" t="s">
        <v>3</v>
      </c>
      <c r="B45" s="151"/>
      <c r="C45" s="151"/>
      <c r="D45" s="151"/>
      <c r="E45" s="151"/>
      <c r="F45" s="2"/>
      <c r="G45" s="2">
        <v>-134</v>
      </c>
      <c r="H45" s="2">
        <v>-303</v>
      </c>
      <c r="I45" s="2">
        <v>-275</v>
      </c>
      <c r="J45" s="2">
        <v>-2255</v>
      </c>
      <c r="K45" s="2">
        <v>-26</v>
      </c>
      <c r="L45" s="2">
        <v>0</v>
      </c>
      <c r="M45" s="2">
        <v>-72</v>
      </c>
      <c r="N45" s="2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-181</v>
      </c>
    </row>
    <row r="46" spans="1:21" x14ac:dyDescent="0.2">
      <c r="A46" s="26" t="s">
        <v>4</v>
      </c>
      <c r="B46" s="151"/>
      <c r="C46" s="151"/>
      <c r="D46" s="151"/>
      <c r="E46" s="151"/>
      <c r="F46" s="2"/>
      <c r="G46" s="2">
        <v>-188</v>
      </c>
      <c r="H46" s="2">
        <v>0</v>
      </c>
      <c r="I46" s="2">
        <v>-21</v>
      </c>
      <c r="J46" s="2">
        <v>-38074</v>
      </c>
      <c r="K46" s="2">
        <v>-4</v>
      </c>
      <c r="L46" s="2">
        <v>-5</v>
      </c>
      <c r="M46" s="2">
        <v>0</v>
      </c>
      <c r="N46" s="2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-15</v>
      </c>
      <c r="U46" s="117">
        <v>-19</v>
      </c>
    </row>
    <row r="47" spans="1:21" x14ac:dyDescent="0.2">
      <c r="A47" s="26" t="s">
        <v>5</v>
      </c>
      <c r="B47" s="151"/>
      <c r="C47" s="151"/>
      <c r="D47" s="151"/>
      <c r="E47" s="151"/>
      <c r="F47" s="2"/>
      <c r="G47" s="2">
        <v>0</v>
      </c>
      <c r="H47" s="2">
        <v>0</v>
      </c>
      <c r="I47" s="2">
        <v>0</v>
      </c>
      <c r="J47" s="2">
        <v>0</v>
      </c>
      <c r="K47" s="2">
        <v>-212</v>
      </c>
      <c r="L47" s="2">
        <v>-1149</v>
      </c>
      <c r="M47" s="2">
        <v>-70</v>
      </c>
      <c r="N47" s="2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-21</v>
      </c>
      <c r="T47" s="117">
        <v>0</v>
      </c>
      <c r="U47" s="117">
        <v>0</v>
      </c>
    </row>
    <row r="48" spans="1:21" x14ac:dyDescent="0.2">
      <c r="A48" s="26" t="s">
        <v>6</v>
      </c>
      <c r="B48" s="151"/>
      <c r="C48" s="151"/>
      <c r="D48" s="151"/>
      <c r="E48" s="151"/>
      <c r="F48" s="2"/>
      <c r="G48" s="2">
        <v>-421</v>
      </c>
      <c r="H48" s="2">
        <v>0</v>
      </c>
      <c r="I48" s="2">
        <v>-150</v>
      </c>
      <c r="J48" s="2">
        <v>-5279</v>
      </c>
      <c r="K48" s="2">
        <v>-83</v>
      </c>
      <c r="L48" s="2">
        <v>-604</v>
      </c>
      <c r="M48" s="2">
        <v>-24063</v>
      </c>
      <c r="N48" s="2">
        <v>0</v>
      </c>
      <c r="O48" s="117">
        <v>0</v>
      </c>
      <c r="P48" s="117">
        <v>-134</v>
      </c>
      <c r="Q48" s="117">
        <v>0</v>
      </c>
      <c r="R48" s="117">
        <v>0</v>
      </c>
      <c r="S48" s="117">
        <v>0</v>
      </c>
      <c r="T48" s="117">
        <v>-70</v>
      </c>
      <c r="U48" s="117">
        <v>0</v>
      </c>
    </row>
    <row r="49" spans="1:21" x14ac:dyDescent="0.2">
      <c r="A49" s="26" t="s">
        <v>7</v>
      </c>
      <c r="B49" s="151"/>
      <c r="C49" s="151"/>
      <c r="D49" s="151"/>
      <c r="E49" s="151"/>
      <c r="F49" s="2"/>
      <c r="G49" s="2">
        <v>-363</v>
      </c>
      <c r="H49" s="2">
        <v>-1081</v>
      </c>
      <c r="I49" s="2">
        <v>-148</v>
      </c>
      <c r="J49" s="2">
        <v>-99</v>
      </c>
      <c r="K49" s="2">
        <v>-1411</v>
      </c>
      <c r="L49" s="2">
        <v>-4153</v>
      </c>
      <c r="M49" s="2">
        <v>0</v>
      </c>
      <c r="N49" s="2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</row>
    <row r="50" spans="1:21" x14ac:dyDescent="0.2">
      <c r="A50" s="26" t="s">
        <v>8</v>
      </c>
      <c r="B50" s="151"/>
      <c r="C50" s="151"/>
      <c r="D50" s="151"/>
      <c r="E50" s="151"/>
      <c r="F50" s="2"/>
      <c r="G50" s="2">
        <v>-1019</v>
      </c>
      <c r="H50" s="2">
        <v>0</v>
      </c>
      <c r="I50" s="2">
        <v>-1116</v>
      </c>
      <c r="J50" s="2">
        <v>-10549</v>
      </c>
      <c r="K50" s="2">
        <v>-150</v>
      </c>
      <c r="L50" s="2">
        <v>0</v>
      </c>
      <c r="M50" s="2">
        <v>0</v>
      </c>
      <c r="N50" s="2">
        <v>0</v>
      </c>
      <c r="O50" s="117">
        <v>0</v>
      </c>
      <c r="P50" s="117">
        <v>0</v>
      </c>
      <c r="Q50" s="117">
        <v>0</v>
      </c>
      <c r="R50" s="117">
        <v>-101</v>
      </c>
      <c r="S50" s="117">
        <v>0</v>
      </c>
      <c r="T50" s="117">
        <v>-1</v>
      </c>
      <c r="U50" s="117">
        <v>0</v>
      </c>
    </row>
    <row r="51" spans="1:21" x14ac:dyDescent="0.2">
      <c r="A51" s="26" t="s">
        <v>9</v>
      </c>
      <c r="B51" s="151"/>
      <c r="C51" s="151"/>
      <c r="D51" s="151"/>
      <c r="E51" s="151"/>
      <c r="F51" s="2"/>
      <c r="G51" s="2">
        <v>-12421</v>
      </c>
      <c r="H51" s="2">
        <v>0</v>
      </c>
      <c r="I51" s="2">
        <v>-2250</v>
      </c>
      <c r="J51" s="2">
        <v>-270</v>
      </c>
      <c r="K51" s="2">
        <v>-1530</v>
      </c>
      <c r="L51" s="2">
        <v>0</v>
      </c>
      <c r="M51" s="2">
        <v>0</v>
      </c>
      <c r="N51" s="2">
        <v>-312</v>
      </c>
      <c r="O51" s="117">
        <v>0</v>
      </c>
      <c r="P51" s="117">
        <v>0</v>
      </c>
      <c r="Q51" s="117">
        <v>0</v>
      </c>
      <c r="R51" s="117">
        <v>0</v>
      </c>
      <c r="S51" s="117">
        <v>-4</v>
      </c>
      <c r="T51" s="117">
        <v>0</v>
      </c>
      <c r="U51" s="117">
        <v>0</v>
      </c>
    </row>
    <row r="52" spans="1:21" x14ac:dyDescent="0.2">
      <c r="A52" s="26" t="s">
        <v>10</v>
      </c>
      <c r="B52" s="160"/>
      <c r="C52" s="160"/>
      <c r="D52" s="160"/>
      <c r="E52" s="160"/>
      <c r="F52" s="2"/>
      <c r="G52" s="2">
        <v>-529</v>
      </c>
      <c r="H52" s="2">
        <v>-3468</v>
      </c>
      <c r="I52" s="2">
        <v>-160</v>
      </c>
      <c r="J52" s="2">
        <v>-1034</v>
      </c>
      <c r="K52" s="2">
        <v>-697</v>
      </c>
      <c r="L52" s="2">
        <v>0</v>
      </c>
      <c r="M52" s="2">
        <v>0</v>
      </c>
      <c r="N52" s="2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</row>
    <row r="53" spans="1:21" x14ac:dyDescent="0.2">
      <c r="A53" s="26" t="s">
        <v>11</v>
      </c>
      <c r="B53" s="162"/>
      <c r="C53" s="162"/>
      <c r="D53" s="162"/>
      <c r="E53" s="162"/>
      <c r="F53" s="40">
        <v>-209</v>
      </c>
      <c r="G53" s="40">
        <v>0</v>
      </c>
      <c r="H53" s="40">
        <v>-16</v>
      </c>
      <c r="I53" s="40">
        <v>-53</v>
      </c>
      <c r="J53" s="40">
        <v>-12</v>
      </c>
      <c r="K53" s="40">
        <v>-79</v>
      </c>
      <c r="L53" s="40">
        <v>-57159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3">
        <v>0</v>
      </c>
      <c r="T53" s="183">
        <v>-48</v>
      </c>
      <c r="U53" s="183">
        <v>0</v>
      </c>
    </row>
    <row r="54" spans="1:21" x14ac:dyDescent="0.2">
      <c r="A54" s="25"/>
      <c r="B54" s="126"/>
      <c r="C54" s="126"/>
      <c r="D54" s="126"/>
      <c r="E54" s="126"/>
      <c r="F54" s="126">
        <f t="shared" ref="F54:N54" si="7">SUM(F42:F53)</f>
        <v>-209</v>
      </c>
      <c r="G54" s="126">
        <f t="shared" si="7"/>
        <v>-15718</v>
      </c>
      <c r="H54" s="126">
        <f t="shared" si="7"/>
        <v>-37260</v>
      </c>
      <c r="I54" s="126">
        <f t="shared" si="7"/>
        <v>-13892</v>
      </c>
      <c r="J54" s="126">
        <f t="shared" si="7"/>
        <v>-58247</v>
      </c>
      <c r="K54" s="126">
        <f t="shared" si="7"/>
        <v>-5969</v>
      </c>
      <c r="L54" s="126">
        <f t="shared" si="7"/>
        <v>-64335</v>
      </c>
      <c r="M54" s="126">
        <f t="shared" si="7"/>
        <v>-24874</v>
      </c>
      <c r="N54" s="126">
        <f t="shared" si="7"/>
        <v>-11057</v>
      </c>
      <c r="O54" s="96">
        <f>SUM(O42:O53)</f>
        <v>0</v>
      </c>
      <c r="P54" s="96">
        <f>SUM(P42:P53)</f>
        <v>-134</v>
      </c>
      <c r="Q54" s="96">
        <f>SUM(Q42:Q53)</f>
        <v>0</v>
      </c>
      <c r="R54" s="126">
        <f t="shared" ref="R54" si="8">SUM(R42:R53)</f>
        <v>-101</v>
      </c>
      <c r="S54" s="126">
        <f>SUM(S42:S53)</f>
        <v>-3766</v>
      </c>
      <c r="T54" s="126">
        <f>SUM(T42:T53)</f>
        <v>-1252</v>
      </c>
      <c r="U54" s="126">
        <f>SUM(U42:U53)</f>
        <v>-216</v>
      </c>
    </row>
    <row r="57" spans="1:21" x14ac:dyDescent="0.2">
      <c r="A57" s="24" t="s">
        <v>108</v>
      </c>
      <c r="B57" s="99">
        <v>20</v>
      </c>
      <c r="D57" s="94" t="s">
        <v>372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 t="s">
        <v>96</v>
      </c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3"/>
      <c r="M60" s="117"/>
      <c r="N60" s="117"/>
      <c r="O60" s="117"/>
      <c r="P60" s="117"/>
      <c r="Q60" s="117"/>
      <c r="R60" s="1">
        <v>4940</v>
      </c>
      <c r="S60" s="1">
        <v>5260</v>
      </c>
      <c r="T60" s="1">
        <v>3860</v>
      </c>
      <c r="U60" s="1">
        <v>3860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3"/>
      <c r="M61" s="117"/>
      <c r="N61" s="117"/>
      <c r="O61" s="117"/>
      <c r="P61" s="117"/>
      <c r="Q61" s="117"/>
      <c r="R61" s="113">
        <v>5080</v>
      </c>
      <c r="S61" s="117">
        <v>5540</v>
      </c>
      <c r="T61" s="1">
        <v>5280</v>
      </c>
      <c r="U61" s="117">
        <v>5320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3"/>
      <c r="M62" s="117"/>
      <c r="N62" s="117"/>
      <c r="O62" s="117"/>
      <c r="P62" s="117"/>
      <c r="Q62" s="117"/>
      <c r="R62" s="113">
        <v>5420</v>
      </c>
      <c r="S62" s="1">
        <v>5400</v>
      </c>
      <c r="T62" s="1">
        <v>5960</v>
      </c>
      <c r="U62" s="1">
        <v>4580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3"/>
      <c r="M63" s="117"/>
      <c r="N63" s="117"/>
      <c r="O63" s="117"/>
      <c r="P63" s="117"/>
      <c r="Q63" s="117"/>
      <c r="R63" s="117">
        <v>3460</v>
      </c>
      <c r="S63" s="1">
        <v>6180</v>
      </c>
      <c r="T63" s="1">
        <v>4460</v>
      </c>
      <c r="U63" s="1">
        <v>4680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6"/>
      <c r="M64" s="117"/>
      <c r="N64" s="117"/>
      <c r="O64" s="117"/>
      <c r="P64" s="117"/>
      <c r="Q64" s="117"/>
      <c r="R64" s="117">
        <v>3720</v>
      </c>
      <c r="S64" s="1">
        <v>4500</v>
      </c>
      <c r="T64" s="1">
        <v>3840</v>
      </c>
      <c r="U64" s="1">
        <v>4800</v>
      </c>
    </row>
    <row r="65" spans="1:21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3"/>
      <c r="M65" s="117"/>
      <c r="N65" s="117"/>
      <c r="O65" s="117"/>
      <c r="P65" s="117"/>
      <c r="Q65" s="117"/>
      <c r="R65" s="113">
        <v>5220</v>
      </c>
      <c r="S65" s="1">
        <v>5580</v>
      </c>
      <c r="T65" s="1">
        <v>4120</v>
      </c>
      <c r="U65" s="1">
        <v>4500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3"/>
      <c r="M66" s="117"/>
      <c r="N66" s="117"/>
      <c r="O66" s="117"/>
      <c r="P66" s="117"/>
      <c r="Q66" s="117"/>
      <c r="R66" s="1">
        <v>6340</v>
      </c>
      <c r="S66" s="1">
        <v>5300</v>
      </c>
      <c r="T66" s="1">
        <v>4400</v>
      </c>
      <c r="U66" s="1">
        <v>4400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3"/>
      <c r="M67" s="117"/>
      <c r="N67" s="117"/>
      <c r="O67" s="117"/>
      <c r="P67" s="117"/>
      <c r="Q67" s="117"/>
      <c r="R67" s="1">
        <v>5940</v>
      </c>
      <c r="S67" s="117">
        <v>4840</v>
      </c>
      <c r="T67" s="1">
        <v>4540</v>
      </c>
      <c r="U67" s="1">
        <v>4560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3"/>
      <c r="M68" s="117"/>
      <c r="N68" s="117"/>
      <c r="O68" s="117"/>
      <c r="P68" s="117"/>
      <c r="Q68" s="117"/>
      <c r="R68" s="117">
        <v>5200</v>
      </c>
      <c r="S68" s="117">
        <v>5180</v>
      </c>
      <c r="T68" s="1">
        <v>5400</v>
      </c>
      <c r="U68" s="117">
        <v>4440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3"/>
      <c r="M69" s="117"/>
      <c r="N69" s="117"/>
      <c r="O69" s="117"/>
      <c r="P69" s="117"/>
      <c r="Q69" s="117"/>
      <c r="R69" s="117">
        <v>5280</v>
      </c>
      <c r="S69" s="117">
        <v>4400</v>
      </c>
      <c r="T69" s="1">
        <v>4720</v>
      </c>
      <c r="U69" s="1">
        <v>4660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3"/>
      <c r="M70" s="117"/>
      <c r="N70" s="117"/>
      <c r="O70" s="117"/>
      <c r="P70" s="117"/>
      <c r="Q70" s="117">
        <v>4260</v>
      </c>
      <c r="R70" s="117">
        <v>5360</v>
      </c>
      <c r="S70" s="1">
        <v>3740</v>
      </c>
      <c r="T70" s="1">
        <v>4560</v>
      </c>
      <c r="U70" s="1">
        <v>4200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5"/>
      <c r="N71" s="95"/>
      <c r="O71" s="95"/>
      <c r="P71" s="95"/>
      <c r="Q71" s="95">
        <v>2660</v>
      </c>
      <c r="R71" s="95">
        <v>4220</v>
      </c>
      <c r="S71" s="1">
        <v>3660</v>
      </c>
      <c r="T71" s="1">
        <v>5000</v>
      </c>
      <c r="U71" s="1">
        <v>5280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6"/>
      <c r="N72" s="96">
        <f>SUM(N60:N71)</f>
        <v>0</v>
      </c>
      <c r="O72" s="96">
        <f>SUM(O60:O71)</f>
        <v>0</v>
      </c>
      <c r="P72" s="96">
        <f>SUM(P60:P71)</f>
        <v>0</v>
      </c>
      <c r="Q72" s="96">
        <f>SUM(Q60:Q71)</f>
        <v>6920</v>
      </c>
      <c r="R72" s="126">
        <f t="shared" ref="R72" si="9">SUM(R60:R71)</f>
        <v>60180</v>
      </c>
      <c r="S72" s="126">
        <f>SUM(S60:S71)</f>
        <v>59580</v>
      </c>
      <c r="T72" s="126">
        <f>SUM(T60:T71)</f>
        <v>56140</v>
      </c>
      <c r="U72" s="126">
        <f>SUM(U60:U71)</f>
        <v>55280</v>
      </c>
    </row>
  </sheetData>
  <phoneticPr fontId="4" type="noConversion"/>
  <pageMargins left="0.2" right="0.2" top="1" bottom="1" header="0.5" footer="0.5"/>
  <pageSetup orientation="landscape" r:id="rId1"/>
  <headerFooter alignWithMargins="0">
    <oddHeader>&amp;A</oddHeader>
  </headerFooter>
  <legacy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</cols>
  <sheetData>
    <row r="1" spans="1:21" x14ac:dyDescent="0.2">
      <c r="A1" s="121"/>
    </row>
    <row r="2" spans="1:21" x14ac:dyDescent="0.2">
      <c r="A2" s="24" t="s">
        <v>391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24496</v>
      </c>
      <c r="S5" s="1">
        <v>30977</v>
      </c>
      <c r="T5" s="1">
        <v>34420</v>
      </c>
      <c r="U5" s="1">
        <v>47217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20152</v>
      </c>
      <c r="S6" s="1">
        <v>26028</v>
      </c>
      <c r="T6" s="1">
        <v>29044</v>
      </c>
      <c r="U6" s="1">
        <v>34505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18730</v>
      </c>
      <c r="S7" s="1">
        <v>21795</v>
      </c>
      <c r="T7" s="1">
        <v>26499</v>
      </c>
      <c r="U7" s="1">
        <v>33661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21870</v>
      </c>
      <c r="S8" s="1">
        <v>30329</v>
      </c>
      <c r="T8" s="1">
        <v>30800</v>
      </c>
      <c r="U8" s="1">
        <v>54508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23753</v>
      </c>
      <c r="S9" s="1">
        <v>26069</v>
      </c>
      <c r="T9" s="1">
        <v>25024</v>
      </c>
      <c r="U9" s="1">
        <v>34595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>
        <v>30258</v>
      </c>
      <c r="S10" s="1">
        <v>29399</v>
      </c>
      <c r="T10" s="1">
        <v>37259</v>
      </c>
      <c r="U10" s="1">
        <v>40358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34721</v>
      </c>
      <c r="S11" s="1">
        <v>28273</v>
      </c>
      <c r="T11" s="1">
        <v>34911</v>
      </c>
      <c r="U11" s="1">
        <v>45016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31389</v>
      </c>
      <c r="S12" s="1">
        <v>26816</v>
      </c>
      <c r="T12" s="1">
        <v>31817</v>
      </c>
      <c r="U12" s="1">
        <v>37623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31629</v>
      </c>
      <c r="S13" s="1">
        <v>29808</v>
      </c>
      <c r="T13" s="1">
        <v>34677</v>
      </c>
      <c r="U13" s="1">
        <v>39057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48</v>
      </c>
      <c r="R14" s="1">
        <v>26208</v>
      </c>
      <c r="S14" s="1">
        <v>30865</v>
      </c>
      <c r="T14" s="1">
        <v>33822</v>
      </c>
      <c r="U14" s="1">
        <v>42795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20957</v>
      </c>
      <c r="R15" s="1">
        <v>26489</v>
      </c>
      <c r="S15" s="1">
        <v>29522</v>
      </c>
      <c r="T15" s="1">
        <v>36044</v>
      </c>
      <c r="U15" s="1">
        <v>32028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18631</v>
      </c>
      <c r="R16" s="1">
        <v>22939</v>
      </c>
      <c r="S16" s="1">
        <v>29472</v>
      </c>
      <c r="T16" s="1">
        <v>31651</v>
      </c>
      <c r="U16" s="1">
        <v>34588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39636</v>
      </c>
      <c r="R17" s="126">
        <f t="shared" ref="R17" si="0">SUM(R5:R16)</f>
        <v>312634</v>
      </c>
      <c r="S17" s="126">
        <f>SUM(S5:S16)</f>
        <v>339353</v>
      </c>
      <c r="T17" s="126">
        <f t="shared" ref="T17" si="1">SUM(T5:T16)</f>
        <v>385968</v>
      </c>
      <c r="U17" s="126">
        <f>SUM(U5:U16)</f>
        <v>475951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392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598</v>
      </c>
      <c r="S24" s="1">
        <v>1050</v>
      </c>
      <c r="T24" s="1">
        <v>2143</v>
      </c>
      <c r="U24" s="1">
        <v>1067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893</v>
      </c>
      <c r="S25" s="117">
        <v>741</v>
      </c>
      <c r="T25" s="1">
        <v>893</v>
      </c>
      <c r="U25" s="1">
        <v>1369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7">
        <v>365</v>
      </c>
      <c r="S26" s="1">
        <v>1426</v>
      </c>
      <c r="T26" s="1">
        <v>487</v>
      </c>
      <c r="U26" s="1">
        <v>822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395</v>
      </c>
      <c r="S27" s="117">
        <v>794</v>
      </c>
      <c r="T27" s="1">
        <v>1455</v>
      </c>
      <c r="U27" s="1">
        <v>976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593</v>
      </c>
      <c r="S28" s="1">
        <v>1522</v>
      </c>
      <c r="T28" s="1">
        <v>653</v>
      </c>
      <c r="U28" s="1">
        <v>1678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656</v>
      </c>
      <c r="S29" s="1">
        <v>1086</v>
      </c>
      <c r="T29" s="1">
        <v>1479</v>
      </c>
      <c r="U29" s="1">
        <v>1793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819</v>
      </c>
      <c r="S30" s="117">
        <v>812</v>
      </c>
      <c r="T30" s="1">
        <v>586</v>
      </c>
      <c r="U30" s="1">
        <v>2943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17">
        <v>825</v>
      </c>
      <c r="S31" s="1">
        <v>1418</v>
      </c>
      <c r="T31" s="1">
        <v>649</v>
      </c>
      <c r="U31" s="1">
        <v>1302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117">
        <v>900</v>
      </c>
      <c r="S32" s="117">
        <v>749</v>
      </c>
      <c r="T32" s="1">
        <v>4834</v>
      </c>
      <c r="U32" s="1">
        <v>1774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1653</v>
      </c>
      <c r="S33" s="1">
        <v>1273</v>
      </c>
      <c r="T33" s="1">
        <v>2031</v>
      </c>
      <c r="U33" s="1">
        <v>1841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277</v>
      </c>
      <c r="R34" s="117">
        <v>1429</v>
      </c>
      <c r="S34" s="1">
        <v>1189</v>
      </c>
      <c r="T34" s="1">
        <v>1151</v>
      </c>
      <c r="U34" s="1">
        <v>1616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688</v>
      </c>
      <c r="R35" s="1">
        <v>792</v>
      </c>
      <c r="S35" s="162">
        <v>809</v>
      </c>
      <c r="T35" s="1">
        <v>2109</v>
      </c>
      <c r="U35" s="1">
        <v>1104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965</v>
      </c>
      <c r="R36" s="126">
        <f t="shared" ref="R36" si="2">SUM(R24:R35)</f>
        <v>9918</v>
      </c>
      <c r="S36" s="126">
        <f>SUM(S24:S35)</f>
        <v>12869</v>
      </c>
      <c r="T36" s="126">
        <f t="shared" ref="T36" si="3">SUM(T24:T35)</f>
        <v>18470</v>
      </c>
      <c r="U36" s="126">
        <f>SUM(U24:U35)</f>
        <v>18285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393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-86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-22</v>
      </c>
      <c r="S46" s="117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-22</v>
      </c>
      <c r="S49" s="117">
        <v>0</v>
      </c>
      <c r="T49" s="1">
        <v>-6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-442</v>
      </c>
      <c r="U50" s="1">
        <v>-1809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-305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0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-44</v>
      </c>
      <c r="S54" s="126">
        <f>SUM(S42:S53)</f>
        <v>0</v>
      </c>
      <c r="T54" s="126">
        <f t="shared" ref="T54" si="5">SUM(T42:T53)</f>
        <v>-753</v>
      </c>
      <c r="U54" s="126">
        <f>SUM(U42:U53)</f>
        <v>-1895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/>
    </row>
    <row r="2" spans="1:21" x14ac:dyDescent="0.2">
      <c r="A2" s="24" t="s">
        <v>388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126535</v>
      </c>
      <c r="S5" s="1">
        <v>150245</v>
      </c>
      <c r="T5" s="1">
        <v>145407</v>
      </c>
      <c r="U5" s="1">
        <v>162981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98345</v>
      </c>
      <c r="S6" s="1">
        <v>116118</v>
      </c>
      <c r="T6" s="1">
        <v>123256</v>
      </c>
      <c r="U6" s="1">
        <v>119202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92433</v>
      </c>
      <c r="S7" s="1">
        <v>109442</v>
      </c>
      <c r="T7" s="1">
        <v>130328</v>
      </c>
      <c r="U7" s="1">
        <v>117058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">
        <v>110957</v>
      </c>
      <c r="S8" s="1">
        <v>148901</v>
      </c>
      <c r="T8" s="1">
        <v>144228</v>
      </c>
      <c r="U8" s="1">
        <v>135170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131275</v>
      </c>
      <c r="S9" s="1">
        <v>139611</v>
      </c>
      <c r="T9" s="1">
        <v>148617</v>
      </c>
      <c r="U9" s="1">
        <v>146301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149826</v>
      </c>
      <c r="S10" s="1">
        <v>152895</v>
      </c>
      <c r="T10" s="1">
        <v>225768</v>
      </c>
      <c r="U10" s="1">
        <v>173184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95149</v>
      </c>
      <c r="S11" s="1">
        <v>146005</v>
      </c>
      <c r="T11" s="1">
        <v>170756</v>
      </c>
      <c r="U11" s="1">
        <v>178995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187722</v>
      </c>
      <c r="S12" s="1">
        <v>151428</v>
      </c>
      <c r="T12" s="1">
        <v>150448</v>
      </c>
      <c r="U12" s="1">
        <v>154794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125950</v>
      </c>
      <c r="S13" s="1">
        <v>132167</v>
      </c>
      <c r="T13" s="1">
        <v>146588</v>
      </c>
      <c r="U13" s="1">
        <v>161074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15</v>
      </c>
      <c r="R14" s="1">
        <v>131321</v>
      </c>
      <c r="S14" s="1">
        <v>151182</v>
      </c>
      <c r="T14" s="1">
        <v>148376</v>
      </c>
      <c r="U14" s="1">
        <v>165852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111411</v>
      </c>
      <c r="R15" s="1">
        <v>131643</v>
      </c>
      <c r="S15" s="1">
        <v>139256</v>
      </c>
      <c r="T15" s="1">
        <v>148963</v>
      </c>
      <c r="U15" s="1">
        <v>166804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116469</v>
      </c>
      <c r="R16" s="1">
        <v>132885</v>
      </c>
      <c r="S16" s="1">
        <v>126367</v>
      </c>
      <c r="T16" s="1">
        <v>200129</v>
      </c>
      <c r="U16" s="1">
        <v>164976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227895</v>
      </c>
      <c r="R17" s="126">
        <f t="shared" ref="R17" si="0">SUM(R5:R16)</f>
        <v>1514041</v>
      </c>
      <c r="S17" s="126">
        <f>SUM(S5:S16)</f>
        <v>1663617</v>
      </c>
      <c r="T17" s="126">
        <f t="shared" ref="T17" si="1">SUM(T5:T16)</f>
        <v>1882864</v>
      </c>
      <c r="U17" s="126">
        <f>SUM(U5:U16)</f>
        <v>1846391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389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2607</v>
      </c>
      <c r="S24" s="1">
        <v>3129</v>
      </c>
      <c r="T24" s="1">
        <v>2307</v>
      </c>
      <c r="U24" s="1">
        <v>3596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2302</v>
      </c>
      <c r="S25" s="1">
        <v>2961</v>
      </c>
      <c r="T25" s="1">
        <v>2030</v>
      </c>
      <c r="U25" s="1">
        <v>2974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2499</v>
      </c>
      <c r="S26" s="1">
        <v>1988</v>
      </c>
      <c r="T26" s="1">
        <v>2803</v>
      </c>
      <c r="U26" s="1">
        <v>2992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1984</v>
      </c>
      <c r="S27" s="1">
        <v>2527</v>
      </c>
      <c r="T27" s="1">
        <v>2134</v>
      </c>
      <c r="U27" s="1">
        <v>2195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1934</v>
      </c>
      <c r="S28" s="1">
        <v>3537</v>
      </c>
      <c r="T28" s="1">
        <v>3674</v>
      </c>
      <c r="U28" s="1">
        <v>3832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2591</v>
      </c>
      <c r="S29" s="1">
        <v>8702</v>
      </c>
      <c r="T29" s="1">
        <v>5380</v>
      </c>
      <c r="U29" s="1">
        <v>2892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1845</v>
      </c>
      <c r="S30" s="1">
        <v>4284</v>
      </c>
      <c r="T30" s="1">
        <v>4601</v>
      </c>
      <c r="U30" s="1">
        <v>4485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2330</v>
      </c>
      <c r="S31" s="1">
        <v>6920</v>
      </c>
      <c r="T31" s="1">
        <v>5465</v>
      </c>
      <c r="U31" s="1">
        <v>2450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3262</v>
      </c>
      <c r="S32" s="1">
        <v>2876</v>
      </c>
      <c r="T32" s="1">
        <v>6458</v>
      </c>
      <c r="U32" s="1">
        <v>2982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3521</v>
      </c>
      <c r="S33" s="1">
        <v>1917</v>
      </c>
      <c r="T33" s="1">
        <v>2619</v>
      </c>
      <c r="U33" s="1">
        <v>3492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1811</v>
      </c>
      <c r="R34" s="1">
        <v>2380</v>
      </c>
      <c r="S34" s="1">
        <v>1787</v>
      </c>
      <c r="T34" s="1">
        <v>2897</v>
      </c>
      <c r="U34" s="1">
        <v>3359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1961</v>
      </c>
      <c r="R35" s="1">
        <v>2793</v>
      </c>
      <c r="S35" s="1">
        <v>1783</v>
      </c>
      <c r="T35" s="1">
        <v>2358</v>
      </c>
      <c r="U35" s="1">
        <v>2607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3772</v>
      </c>
      <c r="R36" s="126">
        <f t="shared" ref="R36" si="2">SUM(R24:R35)</f>
        <v>30048</v>
      </c>
      <c r="S36" s="126">
        <f>SUM(S24:S35)</f>
        <v>42411</v>
      </c>
      <c r="T36" s="126">
        <f t="shared" ref="T36" si="3">SUM(T24:T35)</f>
        <v>42726</v>
      </c>
      <c r="U36" s="126">
        <f>SUM(U24:U35)</f>
        <v>37856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390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-2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-1</v>
      </c>
      <c r="T43" s="1">
        <v>-15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">
        <v>-1921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-2</v>
      </c>
      <c r="U45" s="1">
        <v>-1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-7095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-15</v>
      </c>
      <c r="T47" s="1">
        <v>0</v>
      </c>
      <c r="U47" s="1">
        <v>-16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-33</v>
      </c>
      <c r="S48" s="117">
        <v>0</v>
      </c>
      <c r="T48" s="1">
        <v>-656</v>
      </c>
      <c r="U48" s="1">
        <v>-7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-125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-705</v>
      </c>
      <c r="T51" s="1">
        <v>-3349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-690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0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-33</v>
      </c>
      <c r="S54" s="126">
        <f>SUM(S42:S53)</f>
        <v>-2767</v>
      </c>
      <c r="T54" s="126">
        <f t="shared" ref="T54" si="5">SUM(T42:T53)</f>
        <v>-11809</v>
      </c>
      <c r="U54" s="126">
        <f>SUM(U42:U53)</f>
        <v>-24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/>
    </row>
    <row r="2" spans="1:21" x14ac:dyDescent="0.2">
      <c r="A2" s="24" t="s">
        <v>385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241422</v>
      </c>
      <c r="S5" s="1">
        <v>304760</v>
      </c>
      <c r="T5" s="1">
        <v>394173</v>
      </c>
      <c r="U5" s="1">
        <v>307032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218145</v>
      </c>
      <c r="S6" s="1">
        <v>220068</v>
      </c>
      <c r="T6" s="1">
        <v>242503</v>
      </c>
      <c r="U6" s="1">
        <v>246839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186676</v>
      </c>
      <c r="S7" s="1">
        <v>208632</v>
      </c>
      <c r="T7" s="1">
        <v>216470</v>
      </c>
      <c r="U7" s="1">
        <v>266468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204826</v>
      </c>
      <c r="S8" s="1">
        <v>252158</v>
      </c>
      <c r="T8" s="1">
        <v>277193</v>
      </c>
      <c r="U8" s="1">
        <v>295376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245576</v>
      </c>
      <c r="S9" s="1">
        <v>262823</v>
      </c>
      <c r="T9" s="1">
        <v>293994</v>
      </c>
      <c r="U9" s="1">
        <v>257722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>
        <v>253853</v>
      </c>
      <c r="S10" s="1">
        <v>297356</v>
      </c>
      <c r="T10" s="1">
        <v>368051</v>
      </c>
      <c r="U10" s="1">
        <v>367904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224633</v>
      </c>
      <c r="S11" s="1">
        <v>290564</v>
      </c>
      <c r="T11" s="1">
        <v>398886</v>
      </c>
      <c r="U11" s="1">
        <v>354600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383919</v>
      </c>
      <c r="S12" s="1">
        <v>313623</v>
      </c>
      <c r="T12" s="1">
        <v>301526</v>
      </c>
      <c r="U12" s="1">
        <v>293647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244516</v>
      </c>
      <c r="S13" s="1">
        <v>344496</v>
      </c>
      <c r="T13" s="1">
        <v>323641</v>
      </c>
      <c r="U13" s="1">
        <v>343028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86</v>
      </c>
      <c r="R14" s="1">
        <v>236702</v>
      </c>
      <c r="S14" s="1">
        <v>292528</v>
      </c>
      <c r="T14" s="1">
        <v>319316</v>
      </c>
      <c r="U14" s="1">
        <v>402826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213985</v>
      </c>
      <c r="R15" s="1">
        <v>234213</v>
      </c>
      <c r="S15" s="1">
        <v>292902</v>
      </c>
      <c r="T15" s="1">
        <v>383937</v>
      </c>
      <c r="U15" s="1">
        <v>297580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197322</v>
      </c>
      <c r="R16" s="1">
        <v>236839</v>
      </c>
      <c r="S16" s="1">
        <v>252578</v>
      </c>
      <c r="T16" s="1">
        <v>355905</v>
      </c>
      <c r="U16" s="1">
        <v>308711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411393</v>
      </c>
      <c r="R17" s="126">
        <f t="shared" ref="R17" si="0">SUM(R5:R16)</f>
        <v>2911320</v>
      </c>
      <c r="S17" s="126">
        <f>SUM(S5:S16)</f>
        <v>3332488</v>
      </c>
      <c r="T17" s="126">
        <f t="shared" ref="T17" si="1">SUM(T5:T16)</f>
        <v>3875595</v>
      </c>
      <c r="U17" s="126">
        <f>SUM(U5:U16)</f>
        <v>3741733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386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8979</v>
      </c>
      <c r="S24" s="1">
        <v>8291</v>
      </c>
      <c r="T24" s="1">
        <v>10220</v>
      </c>
      <c r="U24" s="1">
        <v>12910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5172</v>
      </c>
      <c r="S25" s="1">
        <v>5184</v>
      </c>
      <c r="T25" s="1">
        <v>11012</v>
      </c>
      <c r="U25" s="1">
        <v>8194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8661</v>
      </c>
      <c r="S26" s="1">
        <v>5316</v>
      </c>
      <c r="T26" s="1">
        <v>8240</v>
      </c>
      <c r="U26" s="1">
        <v>10638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18524</v>
      </c>
      <c r="S27" s="1">
        <v>6055</v>
      </c>
      <c r="T27" s="1">
        <v>9633</v>
      </c>
      <c r="U27" s="1">
        <v>6361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6018</v>
      </c>
      <c r="S28" s="1">
        <v>10216</v>
      </c>
      <c r="T28" s="1">
        <v>9227</v>
      </c>
      <c r="U28" s="1">
        <v>13802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4526</v>
      </c>
      <c r="S29" s="1">
        <v>8128</v>
      </c>
      <c r="T29" s="1">
        <v>9604</v>
      </c>
      <c r="U29" s="1">
        <v>10935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6376</v>
      </c>
      <c r="S30" s="1">
        <v>8955</v>
      </c>
      <c r="T30" s="1">
        <v>10646</v>
      </c>
      <c r="U30" s="1">
        <v>14391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6275</v>
      </c>
      <c r="S31" s="1">
        <v>6896</v>
      </c>
      <c r="T31" s="1">
        <v>34581</v>
      </c>
      <c r="U31" s="1">
        <v>10267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10065</v>
      </c>
      <c r="S32" s="1">
        <v>5693</v>
      </c>
      <c r="T32" s="1">
        <v>9210</v>
      </c>
      <c r="U32" s="1">
        <v>8633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5274</v>
      </c>
      <c r="S33" s="1">
        <v>13777</v>
      </c>
      <c r="T33" s="1">
        <v>6736</v>
      </c>
      <c r="U33" s="1">
        <v>7362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7654</v>
      </c>
      <c r="R34" s="1">
        <v>8969</v>
      </c>
      <c r="S34" s="1">
        <v>6601</v>
      </c>
      <c r="T34" s="1">
        <v>8512</v>
      </c>
      <c r="U34" s="1">
        <v>7352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10736</v>
      </c>
      <c r="R35" s="1">
        <v>5264</v>
      </c>
      <c r="S35" s="1">
        <v>8832</v>
      </c>
      <c r="T35" s="1">
        <v>11659</v>
      </c>
      <c r="U35" s="1">
        <v>8814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18390</v>
      </c>
      <c r="R36" s="126">
        <f t="shared" ref="R36" si="2">SUM(R24:R35)</f>
        <v>94103</v>
      </c>
      <c r="S36" s="126">
        <f>SUM(S24:S35)</f>
        <v>93944</v>
      </c>
      <c r="T36" s="126">
        <f t="shared" ref="T36" si="3">SUM(T24:T35)</f>
        <v>139280</v>
      </c>
      <c r="U36" s="126">
        <f>SUM(U24:U35)</f>
        <v>119659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387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-5000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-2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-46</v>
      </c>
      <c r="S44" s="1">
        <v>-4250</v>
      </c>
      <c r="T44" s="1">
        <v>-18646</v>
      </c>
      <c r="U44" s="1">
        <v>-4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-101</v>
      </c>
      <c r="U45" s="1">
        <v>-7927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-385</v>
      </c>
      <c r="S46" s="117">
        <v>-113</v>
      </c>
      <c r="T46" s="1">
        <v>-3602</v>
      </c>
      <c r="U46" s="1">
        <v>-1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">
        <v>-41</v>
      </c>
      <c r="S47" s="117">
        <v>-3</v>
      </c>
      <c r="T47" s="1">
        <v>-5025</v>
      </c>
      <c r="U47" s="1">
        <v>-1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">
        <v>-104</v>
      </c>
      <c r="S48" s="117">
        <v>0</v>
      </c>
      <c r="T48" s="1">
        <v>-4</v>
      </c>
      <c r="U48" s="1">
        <v>-1961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-385</v>
      </c>
      <c r="S49" s="117">
        <v>-19</v>
      </c>
      <c r="T49" s="1">
        <v>0</v>
      </c>
      <c r="U49" s="1">
        <v>-389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-162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">
        <v>-943</v>
      </c>
      <c r="S51" s="117">
        <v>0</v>
      </c>
      <c r="T51" s="1">
        <v>0</v>
      </c>
      <c r="U51" s="1">
        <v>-175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-527</v>
      </c>
      <c r="T52" s="1">
        <v>-874</v>
      </c>
      <c r="U52" s="1">
        <v>-637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-3</v>
      </c>
      <c r="S53" s="182">
        <v>0</v>
      </c>
      <c r="T53" s="1">
        <v>-1044</v>
      </c>
      <c r="U53" s="1">
        <v>-18265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-1907</v>
      </c>
      <c r="S54" s="126">
        <f>SUM(S42:S53)</f>
        <v>-4912</v>
      </c>
      <c r="T54" s="126">
        <f t="shared" ref="T54" si="5">SUM(T42:T53)</f>
        <v>-34296</v>
      </c>
      <c r="U54" s="126">
        <f>SUM(U42:U53)</f>
        <v>-29524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  <col min="20" max="20" width="10.7109375" bestFit="1" customWidth="1"/>
  </cols>
  <sheetData>
    <row r="1" spans="1:21" x14ac:dyDescent="0.2">
      <c r="A1" s="121"/>
    </row>
    <row r="2" spans="1:21" x14ac:dyDescent="0.2">
      <c r="A2" s="24" t="s">
        <v>382</v>
      </c>
      <c r="B2" s="6">
        <v>5.0000000000000001E-3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49484</v>
      </c>
      <c r="S5" s="1">
        <v>46805</v>
      </c>
      <c r="T5" s="1">
        <v>68978</v>
      </c>
      <c r="U5" s="1">
        <v>64398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40421</v>
      </c>
      <c r="S6" s="1">
        <v>41410</v>
      </c>
      <c r="T6" s="1">
        <v>74303</v>
      </c>
      <c r="U6" s="1">
        <v>42861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47770</v>
      </c>
      <c r="S7" s="1">
        <v>110426</v>
      </c>
      <c r="T7" s="1">
        <v>82525</v>
      </c>
      <c r="U7" s="1">
        <v>49562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54124</v>
      </c>
      <c r="S8" s="1">
        <v>80921</v>
      </c>
      <c r="T8" s="1">
        <v>111898</v>
      </c>
      <c r="U8" s="1">
        <v>66308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51297</v>
      </c>
      <c r="S9" s="1">
        <v>69695</v>
      </c>
      <c r="T9" s="1">
        <v>117371</v>
      </c>
      <c r="U9" s="1">
        <v>57212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">
        <v>69222</v>
      </c>
      <c r="S10" s="1">
        <v>56176</v>
      </c>
      <c r="T10" s="1">
        <v>102960</v>
      </c>
      <c r="U10" s="1">
        <v>86757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50952</v>
      </c>
      <c r="S11" s="1">
        <v>63577</v>
      </c>
      <c r="T11" s="1">
        <v>104506</v>
      </c>
      <c r="U11" s="1">
        <v>106113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136650</v>
      </c>
      <c r="S12" s="1">
        <v>101466</v>
      </c>
      <c r="T12" s="1">
        <v>90232</v>
      </c>
      <c r="U12" s="1">
        <v>84506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66815</v>
      </c>
      <c r="S13" s="1">
        <v>54906</v>
      </c>
      <c r="T13" s="1">
        <v>82499</v>
      </c>
      <c r="U13" s="1">
        <v>73600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9</v>
      </c>
      <c r="R14" s="1">
        <v>56466</v>
      </c>
      <c r="S14" s="1">
        <v>56960</v>
      </c>
      <c r="T14" s="1">
        <v>81986</v>
      </c>
      <c r="U14" s="1">
        <v>59636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38462</v>
      </c>
      <c r="R15" s="1">
        <v>41096</v>
      </c>
      <c r="S15" s="1">
        <v>56653</v>
      </c>
      <c r="T15" s="1">
        <v>67045</v>
      </c>
      <c r="U15" s="1">
        <v>50662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39193</v>
      </c>
      <c r="R16" s="1">
        <v>40578</v>
      </c>
      <c r="S16" s="1">
        <v>75798</v>
      </c>
      <c r="T16" s="1">
        <v>64469</v>
      </c>
      <c r="U16" s="1">
        <v>49827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77664</v>
      </c>
      <c r="R17" s="126">
        <f t="shared" ref="R17" si="0">SUM(R5:R16)</f>
        <v>704875</v>
      </c>
      <c r="S17" s="126">
        <f>SUM(S5:S16)</f>
        <v>814793</v>
      </c>
      <c r="T17" s="126">
        <f t="shared" ref="T17" si="1">SUM(T5:T16)</f>
        <v>1048772</v>
      </c>
      <c r="U17" s="126">
        <f>SUM(U5:U16)</f>
        <v>791442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383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1096</v>
      </c>
      <c r="S24" s="117">
        <v>975</v>
      </c>
      <c r="T24" s="1">
        <v>2175</v>
      </c>
      <c r="U24" s="1">
        <v>2055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1710</v>
      </c>
      <c r="S25" s="1">
        <v>1093</v>
      </c>
      <c r="T25" s="1">
        <v>1671</v>
      </c>
      <c r="U25" s="1">
        <v>1069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449</v>
      </c>
      <c r="S26" s="1">
        <v>2444</v>
      </c>
      <c r="T26" s="1">
        <v>1382</v>
      </c>
      <c r="U26" s="1">
        <v>1396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1668</v>
      </c>
      <c r="S27" s="1">
        <v>1616</v>
      </c>
      <c r="T27" s="1">
        <v>2617</v>
      </c>
      <c r="U27" s="1">
        <v>1435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1417</v>
      </c>
      <c r="S28" s="117">
        <v>421</v>
      </c>
      <c r="T28" s="1">
        <v>2005</v>
      </c>
      <c r="U28" s="1">
        <v>898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261</v>
      </c>
      <c r="S29" s="117">
        <v>817</v>
      </c>
      <c r="T29" s="1">
        <v>1304</v>
      </c>
      <c r="U29" s="1">
        <v>1608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1400</v>
      </c>
      <c r="S30" s="1">
        <v>2746</v>
      </c>
      <c r="T30" s="1">
        <v>2084</v>
      </c>
      <c r="U30" s="1">
        <v>2085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17">
        <v>878</v>
      </c>
      <c r="S31" s="1">
        <v>846</v>
      </c>
      <c r="T31" s="1">
        <v>1608</v>
      </c>
      <c r="U31" s="1">
        <v>1380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117">
        <v>873</v>
      </c>
      <c r="S32" s="1">
        <v>1378</v>
      </c>
      <c r="T32" s="1">
        <v>1791</v>
      </c>
      <c r="U32" s="1">
        <v>4204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17">
        <v>929</v>
      </c>
      <c r="S33" s="1">
        <v>1960</v>
      </c>
      <c r="T33" s="1">
        <v>1867</v>
      </c>
      <c r="U33" s="1">
        <v>1567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841</v>
      </c>
      <c r="R34" s="1">
        <v>510</v>
      </c>
      <c r="S34" s="1">
        <v>1154</v>
      </c>
      <c r="T34" s="1">
        <v>1856</v>
      </c>
      <c r="U34" s="1">
        <v>1203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845</v>
      </c>
      <c r="R35" s="1">
        <v>1371</v>
      </c>
      <c r="S35" s="1">
        <v>1563</v>
      </c>
      <c r="T35" s="1">
        <v>1546</v>
      </c>
      <c r="U35" s="1">
        <v>1140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1686</v>
      </c>
      <c r="R36" s="126">
        <f t="shared" ref="R36" si="2">SUM(R24:R35)</f>
        <v>12562</v>
      </c>
      <c r="S36" s="126">
        <f>SUM(S24:S35)</f>
        <v>17013</v>
      </c>
      <c r="T36" s="126">
        <f t="shared" ref="T36" si="3">SUM(T24:T35)</f>
        <v>21906</v>
      </c>
      <c r="U36" s="126">
        <f>SUM(U24:U35)</f>
        <v>20040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384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-420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0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0</v>
      </c>
      <c r="S54" s="126">
        <f>SUM(S42:S53)</f>
        <v>0</v>
      </c>
      <c r="T54" s="126">
        <f t="shared" ref="T54" si="5">SUM(T42:T53)</f>
        <v>0</v>
      </c>
      <c r="U54" s="126">
        <f>SUM(U42:U53)</f>
        <v>-420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</cols>
  <sheetData>
    <row r="1" spans="1:21" x14ac:dyDescent="0.2">
      <c r="A1" s="121"/>
    </row>
    <row r="2" spans="1:21" x14ac:dyDescent="0.2">
      <c r="A2" s="24" t="s">
        <v>379</v>
      </c>
      <c r="B2" s="6">
        <v>0.01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87088</v>
      </c>
      <c r="S5" s="1">
        <v>80833</v>
      </c>
      <c r="T5" s="1">
        <v>91731</v>
      </c>
      <c r="U5" s="1">
        <v>104918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64499</v>
      </c>
      <c r="S6" s="1">
        <v>68314</v>
      </c>
      <c r="T6" s="1">
        <v>70852</v>
      </c>
      <c r="U6" s="1">
        <v>85167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66887</v>
      </c>
      <c r="S7" s="1">
        <v>62942</v>
      </c>
      <c r="T7" s="1">
        <v>70321</v>
      </c>
      <c r="U7" s="1">
        <v>80041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73305</v>
      </c>
      <c r="S8" s="1">
        <v>91333</v>
      </c>
      <c r="T8" s="1">
        <v>88874</v>
      </c>
      <c r="U8" s="1">
        <v>95832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73217</v>
      </c>
      <c r="S9" s="1">
        <v>86192</v>
      </c>
      <c r="T9" s="1">
        <v>90827</v>
      </c>
      <c r="U9" s="1">
        <v>94548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90755</v>
      </c>
      <c r="S10" s="1">
        <v>98389</v>
      </c>
      <c r="T10" s="1">
        <v>117958</v>
      </c>
      <c r="U10" s="1">
        <v>131072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75276</v>
      </c>
      <c r="S11" s="1">
        <v>114636</v>
      </c>
      <c r="T11" s="1">
        <v>124274</v>
      </c>
      <c r="U11" s="1">
        <v>160968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118071</v>
      </c>
      <c r="S12" s="1">
        <v>106749</v>
      </c>
      <c r="T12" s="1">
        <v>110887</v>
      </c>
      <c r="U12" s="1">
        <v>135959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95859</v>
      </c>
      <c r="S13" s="1">
        <v>102255</v>
      </c>
      <c r="T13" s="1">
        <v>124281</v>
      </c>
      <c r="U13" s="1">
        <v>153836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424</v>
      </c>
      <c r="R14" s="1">
        <v>90658</v>
      </c>
      <c r="S14" s="1">
        <v>115705</v>
      </c>
      <c r="T14" s="1">
        <v>121774</v>
      </c>
      <c r="U14" s="1">
        <v>136241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77950</v>
      </c>
      <c r="R15" s="1">
        <v>87600</v>
      </c>
      <c r="S15" s="1">
        <v>92351</v>
      </c>
      <c r="T15" s="1">
        <v>98455</v>
      </c>
      <c r="U15" s="1">
        <v>114880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80465</v>
      </c>
      <c r="R16" s="1">
        <v>73771</v>
      </c>
      <c r="S16" s="1">
        <v>66660</v>
      </c>
      <c r="T16" s="1">
        <v>89037</v>
      </c>
      <c r="U16" s="1">
        <v>92397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158839</v>
      </c>
      <c r="R17" s="126">
        <f t="shared" ref="R17" si="0">SUM(R5:R16)</f>
        <v>996986</v>
      </c>
      <c r="S17" s="126">
        <f>SUM(S5:S16)</f>
        <v>1086359</v>
      </c>
      <c r="T17" s="126">
        <f t="shared" ref="T17" si="1">SUM(T5:T16)</f>
        <v>1199271</v>
      </c>
      <c r="U17" s="126">
        <f>SUM(U5:U16)</f>
        <v>1385859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380</v>
      </c>
      <c r="B21" s="6">
        <v>5.0000000000000001E-3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1794</v>
      </c>
      <c r="S24" s="1">
        <v>4010</v>
      </c>
      <c r="T24" s="1">
        <v>16360</v>
      </c>
      <c r="U24" s="1">
        <v>14609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7701</v>
      </c>
      <c r="S25" s="1">
        <v>3118</v>
      </c>
      <c r="T25" s="1">
        <v>15102</v>
      </c>
      <c r="U25" s="1">
        <v>5663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2344</v>
      </c>
      <c r="S26" s="1">
        <v>1054</v>
      </c>
      <c r="T26" s="1">
        <v>12977</v>
      </c>
      <c r="U26" s="1">
        <v>6665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1640</v>
      </c>
      <c r="S27" s="1">
        <v>2019</v>
      </c>
      <c r="T27" s="1">
        <v>19739</v>
      </c>
      <c r="U27" s="1">
        <v>11497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2371</v>
      </c>
      <c r="S28" s="1">
        <v>-387</v>
      </c>
      <c r="T28" s="1">
        <v>18263</v>
      </c>
      <c r="U28" s="1">
        <v>10016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2175</v>
      </c>
      <c r="S29" s="1">
        <v>1286</v>
      </c>
      <c r="T29" s="1">
        <v>26406</v>
      </c>
      <c r="U29" s="1">
        <v>11679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2585</v>
      </c>
      <c r="S30" s="1">
        <v>10570</v>
      </c>
      <c r="T30" s="1">
        <v>14449</v>
      </c>
      <c r="U30" s="1">
        <v>11922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3425</v>
      </c>
      <c r="S31" s="1">
        <v>12269</v>
      </c>
      <c r="T31" s="1">
        <v>17555</v>
      </c>
      <c r="U31" s="1">
        <v>12241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4324</v>
      </c>
      <c r="S32" s="1">
        <v>9746</v>
      </c>
      <c r="T32" s="1">
        <v>18266</v>
      </c>
      <c r="U32" s="1">
        <v>8107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5046</v>
      </c>
      <c r="S33" s="1">
        <v>14436</v>
      </c>
      <c r="T33" s="1">
        <v>13535</v>
      </c>
      <c r="U33" s="1">
        <v>8920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1839</v>
      </c>
      <c r="R34" s="1">
        <v>2431</v>
      </c>
      <c r="S34" s="1">
        <v>11663</v>
      </c>
      <c r="T34" s="1">
        <v>10992</v>
      </c>
      <c r="U34" s="1">
        <v>8653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978</v>
      </c>
      <c r="R35" s="1">
        <v>3092</v>
      </c>
      <c r="S35" s="1">
        <v>12592</v>
      </c>
      <c r="T35" s="1">
        <v>11609</v>
      </c>
      <c r="U35" s="1">
        <v>8024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2817</v>
      </c>
      <c r="R36" s="126">
        <f t="shared" ref="R36" si="2">SUM(R24:R35)</f>
        <v>38928</v>
      </c>
      <c r="S36" s="126">
        <f>SUM(S24:S35)</f>
        <v>82376</v>
      </c>
      <c r="T36" s="126">
        <f t="shared" ref="T36" si="3">SUM(T24:T35)</f>
        <v>195253</v>
      </c>
      <c r="U36" s="126">
        <f>SUM(U24:U35)</f>
        <v>117996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381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-2</v>
      </c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-14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-2</v>
      </c>
      <c r="S46" s="1">
        <v>0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-59</v>
      </c>
      <c r="S48" s="117">
        <v>0</v>
      </c>
      <c r="T48" s="1">
        <v>-70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0</v>
      </c>
      <c r="T52" s="1">
        <v>0</v>
      </c>
      <c r="U52" s="1">
        <v>-23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168">
        <v>0</v>
      </c>
      <c r="R53" s="168">
        <v>-84</v>
      </c>
      <c r="S53" s="182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0</v>
      </c>
      <c r="R54" s="126">
        <f t="shared" ref="R54" si="4">SUM(R42:R53)</f>
        <v>-147</v>
      </c>
      <c r="S54" s="126">
        <f>SUM(S42:S53)</f>
        <v>-14</v>
      </c>
      <c r="T54" s="126">
        <f t="shared" ref="T54" si="5">SUM(T42:T53)</f>
        <v>-70</v>
      </c>
      <c r="U54" s="126">
        <f>SUM(U42:U53)</f>
        <v>-23</v>
      </c>
    </row>
    <row r="55" spans="1:21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U80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</cols>
  <sheetData>
    <row r="1" spans="1:21" x14ac:dyDescent="0.2">
      <c r="A1" s="121"/>
    </row>
    <row r="2" spans="1:21" x14ac:dyDescent="0.2">
      <c r="A2" s="24" t="s">
        <v>375</v>
      </c>
      <c r="B2" s="6">
        <v>2.5000000000000001E-3</v>
      </c>
      <c r="D2" s="94" t="s">
        <v>372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6">
        <v>2016</v>
      </c>
      <c r="O3" s="86">
        <v>2017</v>
      </c>
      <c r="P3" s="86">
        <v>2018</v>
      </c>
      <c r="Q3" s="86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 t="s">
        <v>94</v>
      </c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90955</v>
      </c>
      <c r="S5" s="1">
        <v>132405</v>
      </c>
      <c r="T5" s="1">
        <v>114722</v>
      </c>
      <c r="U5" s="1">
        <v>131400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73662</v>
      </c>
      <c r="S6" s="1">
        <v>75966</v>
      </c>
      <c r="T6" s="1">
        <v>89569</v>
      </c>
      <c r="U6" s="1">
        <v>89683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78986</v>
      </c>
      <c r="S7" s="1">
        <v>92163</v>
      </c>
      <c r="T7" s="1">
        <v>92375</v>
      </c>
      <c r="U7" s="1">
        <v>91657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87140</v>
      </c>
      <c r="S8" s="1">
        <v>114848</v>
      </c>
      <c r="T8" s="1">
        <v>113984</v>
      </c>
      <c r="U8" s="1">
        <v>121378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76276</v>
      </c>
      <c r="S9" s="1">
        <v>105527</v>
      </c>
      <c r="T9" s="1">
        <v>113793</v>
      </c>
      <c r="U9" s="1">
        <v>108178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102994</v>
      </c>
      <c r="S10" s="1">
        <v>111375</v>
      </c>
      <c r="T10" s="1">
        <v>140597</v>
      </c>
      <c r="U10" s="1">
        <v>136368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112137</v>
      </c>
      <c r="S11" s="1">
        <v>121239</v>
      </c>
      <c r="T11" s="1">
        <v>127411</v>
      </c>
      <c r="U11" s="1">
        <v>134783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116480</v>
      </c>
      <c r="S12" s="1">
        <v>117680</v>
      </c>
      <c r="T12" s="1">
        <v>120247</v>
      </c>
      <c r="U12" s="1">
        <v>124351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96948</v>
      </c>
      <c r="S13" s="1">
        <v>104665</v>
      </c>
      <c r="T13" s="1">
        <v>126614</v>
      </c>
      <c r="U13" s="1">
        <v>125373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>
        <v>13</v>
      </c>
      <c r="R14" s="1">
        <v>99619</v>
      </c>
      <c r="S14" s="1">
        <v>119402</v>
      </c>
      <c r="T14" s="1">
        <v>121126</v>
      </c>
      <c r="U14" s="1">
        <v>127362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>
        <v>75317</v>
      </c>
      <c r="R15" s="1">
        <v>94233</v>
      </c>
      <c r="S15" s="1">
        <v>109812</v>
      </c>
      <c r="T15" s="1">
        <v>106560</v>
      </c>
      <c r="U15" s="1">
        <v>120158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>
        <v>79018</v>
      </c>
      <c r="R16" s="1">
        <v>88384</v>
      </c>
      <c r="S16" s="1">
        <v>107477</v>
      </c>
      <c r="T16" s="1">
        <v>135705</v>
      </c>
      <c r="U16" s="1">
        <v>113556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>
        <f>SUM(P5:P16)</f>
        <v>0</v>
      </c>
      <c r="Q17" s="96">
        <f>SUM(Q5:Q16)</f>
        <v>154348</v>
      </c>
      <c r="R17" s="126">
        <f t="shared" ref="R17" si="0">SUM(R5:R16)</f>
        <v>1117814</v>
      </c>
      <c r="S17" s="126">
        <f>SUM(S5:S16)</f>
        <v>1312559</v>
      </c>
      <c r="T17" s="126">
        <f t="shared" ref="T17" si="1">SUM(T5:T16)</f>
        <v>1402703</v>
      </c>
      <c r="U17" s="126">
        <f>SUM(U5:U16)</f>
        <v>1424247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 t="s">
        <v>110</v>
      </c>
      <c r="H19" s="2"/>
      <c r="L19" s="94"/>
    </row>
    <row r="20" spans="1:21" x14ac:dyDescent="0.2">
      <c r="F20" s="35" t="s">
        <v>111</v>
      </c>
      <c r="H20" s="2"/>
      <c r="L20" s="94"/>
    </row>
    <row r="21" spans="1:21" x14ac:dyDescent="0.2">
      <c r="A21" s="24" t="s">
        <v>376</v>
      </c>
      <c r="B21" s="6">
        <v>2.5000000000000001E-3</v>
      </c>
      <c r="D21" s="94" t="s">
        <v>372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6">
        <v>2016</v>
      </c>
      <c r="O22" s="86">
        <v>2017</v>
      </c>
      <c r="P22" s="86">
        <v>2018</v>
      </c>
      <c r="Q22" s="86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 t="s">
        <v>95</v>
      </c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4955</v>
      </c>
      <c r="S24" s="1">
        <v>4685</v>
      </c>
      <c r="T24" s="1">
        <v>4258</v>
      </c>
      <c r="U24" s="1">
        <v>5133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3463</v>
      </c>
      <c r="S25" s="1">
        <v>5373</v>
      </c>
      <c r="T25" s="1">
        <v>-4029</v>
      </c>
      <c r="U25" s="1">
        <v>2829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5693</v>
      </c>
      <c r="S26" s="1">
        <v>5894</v>
      </c>
      <c r="T26" s="1">
        <v>9009</v>
      </c>
      <c r="U26" s="1">
        <v>5975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6601</v>
      </c>
      <c r="S27" s="1">
        <v>5354</v>
      </c>
      <c r="T27" s="1">
        <v>3925</v>
      </c>
      <c r="U27" s="1">
        <v>5197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3136</v>
      </c>
      <c r="S28" s="117">
        <v>938</v>
      </c>
      <c r="T28" s="1">
        <v>4454</v>
      </c>
      <c r="U28" s="1">
        <v>6287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8066</v>
      </c>
      <c r="S29" s="1">
        <v>7902</v>
      </c>
      <c r="T29" s="1">
        <v>5753</v>
      </c>
      <c r="U29" s="1">
        <v>7785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2529</v>
      </c>
      <c r="S30" s="1">
        <v>4644</v>
      </c>
      <c r="T30" s="1">
        <v>4951</v>
      </c>
      <c r="U30" s="1">
        <v>9490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3805</v>
      </c>
      <c r="S31" s="1">
        <v>5814</v>
      </c>
      <c r="T31" s="1">
        <v>4491</v>
      </c>
      <c r="U31" s="1">
        <v>8796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0</v>
      </c>
      <c r="S32" s="1">
        <v>6200</v>
      </c>
      <c r="T32" s="1">
        <v>5027</v>
      </c>
      <c r="U32" s="1">
        <v>9063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>
        <v>0</v>
      </c>
      <c r="R33" s="1">
        <v>3467</v>
      </c>
      <c r="S33" s="1">
        <v>6522</v>
      </c>
      <c r="T33" s="1">
        <v>14021</v>
      </c>
      <c r="U33" s="1">
        <v>12265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>
        <v>4134</v>
      </c>
      <c r="R34" s="1">
        <v>5409</v>
      </c>
      <c r="S34" s="1">
        <v>3894</v>
      </c>
      <c r="T34" s="1">
        <v>5935</v>
      </c>
      <c r="U34" s="1">
        <v>5734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>
        <v>3365</v>
      </c>
      <c r="R35" s="1">
        <v>5969</v>
      </c>
      <c r="S35" s="1">
        <v>4931</v>
      </c>
      <c r="T35" s="1">
        <v>8320</v>
      </c>
      <c r="U35" s="1">
        <v>5148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>
        <f>SUM(P24:P35)</f>
        <v>0</v>
      </c>
      <c r="Q36" s="96">
        <f>SUM(Q24:Q35)</f>
        <v>7499</v>
      </c>
      <c r="R36" s="126">
        <f t="shared" ref="R36" si="2">SUM(R24:R35)</f>
        <v>53093</v>
      </c>
      <c r="S36" s="126">
        <f>SUM(S24:S35)</f>
        <v>62151</v>
      </c>
      <c r="T36" s="126">
        <f t="shared" ref="T36" si="3">SUM(T24:T35)</f>
        <v>66115</v>
      </c>
      <c r="U36" s="126">
        <f>SUM(U24:U35)</f>
        <v>83702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377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6">
        <v>2016</v>
      </c>
      <c r="O40" s="86">
        <v>2017</v>
      </c>
      <c r="P40" s="86">
        <v>2018</v>
      </c>
      <c r="Q40" s="86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-15</v>
      </c>
      <c r="S42" s="117">
        <v>-294</v>
      </c>
      <c r="T42" s="1">
        <v>-259</v>
      </c>
      <c r="U42" s="1">
        <v>-4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-25</v>
      </c>
      <c r="T43" s="1">
        <v>-2693</v>
      </c>
      <c r="U43" s="1">
        <v>-38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-16</v>
      </c>
      <c r="S44" s="117">
        <v>-41</v>
      </c>
      <c r="T44" s="1">
        <v>-245</v>
      </c>
      <c r="U44" s="1">
        <v>-36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-13</v>
      </c>
      <c r="U45" s="1">
        <v>-103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-16</v>
      </c>
      <c r="S46" s="117">
        <v>-492</v>
      </c>
      <c r="T46" s="1">
        <v>-76</v>
      </c>
      <c r="U46" s="1">
        <v>-2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">
        <v>-172</v>
      </c>
      <c r="S47" s="117">
        <v>0</v>
      </c>
      <c r="T47" s="1">
        <v>-63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">
        <v>-10</v>
      </c>
      <c r="S48" s="117">
        <v>-29</v>
      </c>
      <c r="T48" s="1">
        <v>-14</v>
      </c>
      <c r="U48" s="1">
        <v>-9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-23</v>
      </c>
      <c r="S49" s="117">
        <v>0</v>
      </c>
      <c r="T49" s="1">
        <v>0</v>
      </c>
      <c r="U49" s="1">
        <v>-88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-467</v>
      </c>
      <c r="U50" s="1">
        <v>-75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>
        <v>0</v>
      </c>
      <c r="R51" s="117">
        <v>0</v>
      </c>
      <c r="S51" s="117">
        <v>-547</v>
      </c>
      <c r="T51" s="1">
        <v>-160</v>
      </c>
      <c r="U51" s="1">
        <v>-51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>
        <v>0</v>
      </c>
      <c r="R52" s="117">
        <v>0</v>
      </c>
      <c r="S52" s="117">
        <v>-1</v>
      </c>
      <c r="T52" s="1">
        <v>-81</v>
      </c>
      <c r="U52" s="1">
        <v>-1317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>
        <v>-14</v>
      </c>
      <c r="R53" s="95">
        <v>-112</v>
      </c>
      <c r="S53" s="162">
        <v>-1</v>
      </c>
      <c r="T53" s="1">
        <v>-1</v>
      </c>
      <c r="U53" s="1">
        <v>-236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>
        <f>SUM(P42:P53)</f>
        <v>0</v>
      </c>
      <c r="Q54" s="96">
        <f>SUM(Q42:Q53)</f>
        <v>-14</v>
      </c>
      <c r="R54" s="126">
        <f t="shared" ref="R54" si="4">SUM(R42:R53)</f>
        <v>-364</v>
      </c>
      <c r="S54" s="126">
        <f>SUM(S42:S53)</f>
        <v>-1430</v>
      </c>
      <c r="T54" s="126">
        <f t="shared" ref="T54" si="5">SUM(T42:T53)</f>
        <v>-4072</v>
      </c>
      <c r="U54" s="126">
        <f>SUM(U42:U53)</f>
        <v>-1959</v>
      </c>
    </row>
    <row r="55" spans="1:21" x14ac:dyDescent="0.2">
      <c r="F55" s="2"/>
    </row>
    <row r="57" spans="1:21" x14ac:dyDescent="0.2">
      <c r="A57" s="24" t="s">
        <v>378</v>
      </c>
      <c r="B57" s="179">
        <v>20</v>
      </c>
      <c r="F57" s="2"/>
    </row>
    <row r="58" spans="1:21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6">
        <v>2016</v>
      </c>
      <c r="O58" s="86">
        <v>2017</v>
      </c>
      <c r="P58" s="86">
        <v>2018</v>
      </c>
      <c r="Q58" s="86">
        <v>2019</v>
      </c>
      <c r="R58" s="86">
        <v>2020</v>
      </c>
      <c r="S58" s="86">
        <v>2021</v>
      </c>
      <c r="T58" s="86">
        <v>2022</v>
      </c>
      <c r="U58" s="86">
        <v>2023</v>
      </c>
    </row>
    <row r="59" spans="1:21" x14ac:dyDescent="0.2">
      <c r="A59" s="25"/>
      <c r="F59" s="2"/>
      <c r="G59" s="32"/>
      <c r="H59" s="2"/>
    </row>
    <row r="60" spans="1:21" x14ac:dyDescent="0.2">
      <c r="A60" s="26" t="s">
        <v>0</v>
      </c>
      <c r="B60" s="21"/>
      <c r="C60" s="22"/>
      <c r="D60" s="12"/>
      <c r="E60" s="12"/>
      <c r="F60" s="2"/>
      <c r="G60" s="59"/>
      <c r="H60" s="54"/>
      <c r="I60" s="54"/>
      <c r="J60" s="2"/>
      <c r="K60" s="2"/>
      <c r="L60" s="54"/>
      <c r="M60" s="117"/>
      <c r="N60" s="117"/>
      <c r="O60" s="117"/>
      <c r="P60" s="117"/>
      <c r="Q60" s="117"/>
      <c r="R60" s="117">
        <v>4980</v>
      </c>
      <c r="S60" s="117">
        <v>6400</v>
      </c>
      <c r="T60" s="1">
        <v>5640</v>
      </c>
      <c r="U60" s="1">
        <v>4620</v>
      </c>
    </row>
    <row r="61" spans="1:21" x14ac:dyDescent="0.2">
      <c r="A61" s="26" t="s">
        <v>1</v>
      </c>
      <c r="B61" s="21"/>
      <c r="C61" s="22"/>
      <c r="D61" s="12"/>
      <c r="E61" s="12"/>
      <c r="F61" s="2"/>
      <c r="G61" s="59"/>
      <c r="H61" s="54"/>
      <c r="I61" s="54"/>
      <c r="J61" s="2"/>
      <c r="K61" s="2"/>
      <c r="L61" s="54"/>
      <c r="M61" s="117"/>
      <c r="N61" s="117"/>
      <c r="O61" s="117"/>
      <c r="P61" s="117"/>
      <c r="Q61" s="117"/>
      <c r="R61" s="113">
        <v>5820</v>
      </c>
      <c r="S61" s="1">
        <v>5560</v>
      </c>
      <c r="T61" s="1">
        <v>4120</v>
      </c>
      <c r="U61" s="1">
        <v>4500</v>
      </c>
    </row>
    <row r="62" spans="1:21" x14ac:dyDescent="0.2">
      <c r="A62" s="26" t="s">
        <v>2</v>
      </c>
      <c r="B62" s="21"/>
      <c r="C62" s="22"/>
      <c r="D62" s="12"/>
      <c r="E62" s="12"/>
      <c r="F62" s="2"/>
      <c r="G62" s="59"/>
      <c r="H62" s="54"/>
      <c r="I62" s="54"/>
      <c r="J62" s="2"/>
      <c r="K62" s="2"/>
      <c r="L62" s="54"/>
      <c r="M62" s="117"/>
      <c r="N62" s="117"/>
      <c r="O62" s="117"/>
      <c r="P62" s="117"/>
      <c r="Q62" s="117"/>
      <c r="R62" s="113">
        <v>5860</v>
      </c>
      <c r="S62" s="1">
        <v>5840</v>
      </c>
      <c r="T62" s="1">
        <v>6100</v>
      </c>
      <c r="U62" s="1">
        <v>5200</v>
      </c>
    </row>
    <row r="63" spans="1:21" x14ac:dyDescent="0.2">
      <c r="A63" s="26" t="s">
        <v>3</v>
      </c>
      <c r="B63" s="21"/>
      <c r="C63" s="22"/>
      <c r="D63" s="12"/>
      <c r="E63" s="12"/>
      <c r="F63" s="2"/>
      <c r="G63" s="59"/>
      <c r="H63" s="54"/>
      <c r="I63" s="54"/>
      <c r="J63" s="2"/>
      <c r="K63" s="2"/>
      <c r="L63" s="54"/>
      <c r="M63" s="117"/>
      <c r="N63" s="117"/>
      <c r="O63" s="117"/>
      <c r="P63" s="117"/>
      <c r="Q63" s="117"/>
      <c r="R63" s="117">
        <v>6160</v>
      </c>
      <c r="S63" s="1">
        <v>8800</v>
      </c>
      <c r="T63" s="1">
        <v>5460</v>
      </c>
      <c r="U63" s="1">
        <v>6380</v>
      </c>
    </row>
    <row r="64" spans="1:21" x14ac:dyDescent="0.2">
      <c r="A64" s="26" t="s">
        <v>4</v>
      </c>
      <c r="B64" s="21"/>
      <c r="C64" s="22"/>
      <c r="D64" s="12"/>
      <c r="E64" s="12"/>
      <c r="F64" s="2"/>
      <c r="G64" s="59"/>
      <c r="H64" s="54"/>
      <c r="I64" s="54"/>
      <c r="J64" s="2"/>
      <c r="K64" s="2"/>
      <c r="L64" s="54"/>
      <c r="M64" s="117"/>
      <c r="N64" s="117"/>
      <c r="O64" s="117"/>
      <c r="P64" s="117"/>
      <c r="Q64" s="117"/>
      <c r="R64" s="117">
        <v>5060</v>
      </c>
      <c r="S64" s="117">
        <v>8320</v>
      </c>
      <c r="T64" s="1">
        <v>5280</v>
      </c>
      <c r="U64" s="1">
        <v>5820</v>
      </c>
    </row>
    <row r="65" spans="1:21" x14ac:dyDescent="0.2">
      <c r="A65" s="26" t="s">
        <v>5</v>
      </c>
      <c r="B65" s="21"/>
      <c r="C65" s="22"/>
      <c r="D65" s="12"/>
      <c r="E65" s="12"/>
      <c r="F65" s="2"/>
      <c r="G65" s="59"/>
      <c r="H65" s="54"/>
      <c r="I65" s="54"/>
      <c r="J65" s="2"/>
      <c r="K65" s="2"/>
      <c r="L65" s="54"/>
      <c r="M65" s="117"/>
      <c r="N65" s="117"/>
      <c r="O65" s="117"/>
      <c r="P65" s="117"/>
      <c r="Q65" s="117"/>
      <c r="R65" s="113">
        <v>6940</v>
      </c>
      <c r="S65" s="117">
        <v>7140</v>
      </c>
      <c r="T65" s="1">
        <v>4640</v>
      </c>
      <c r="U65" s="1">
        <v>6160</v>
      </c>
    </row>
    <row r="66" spans="1:21" x14ac:dyDescent="0.2">
      <c r="A66" s="26" t="s">
        <v>6</v>
      </c>
      <c r="B66" s="21"/>
      <c r="C66" s="22"/>
      <c r="D66" s="12"/>
      <c r="E66" s="12"/>
      <c r="F66" s="2"/>
      <c r="G66" s="54"/>
      <c r="H66" s="54"/>
      <c r="I66" s="54"/>
      <c r="J66" s="2"/>
      <c r="K66" s="2"/>
      <c r="L66" s="54"/>
      <c r="M66" s="117"/>
      <c r="N66" s="117"/>
      <c r="O66" s="117"/>
      <c r="P66" s="117"/>
      <c r="Q66" s="117"/>
      <c r="R66" s="113">
        <v>8200</v>
      </c>
      <c r="S66" s="117">
        <v>6440</v>
      </c>
      <c r="T66" s="1">
        <v>5380</v>
      </c>
      <c r="U66" s="1">
        <v>7800</v>
      </c>
    </row>
    <row r="67" spans="1:21" x14ac:dyDescent="0.2">
      <c r="A67" s="26" t="s">
        <v>7</v>
      </c>
      <c r="B67" s="21"/>
      <c r="C67" s="22"/>
      <c r="D67" s="12"/>
      <c r="E67" s="12"/>
      <c r="F67" s="2"/>
      <c r="G67" s="59"/>
      <c r="H67" s="54"/>
      <c r="I67" s="54"/>
      <c r="J67" s="2"/>
      <c r="K67" s="2"/>
      <c r="L67" s="54"/>
      <c r="M67" s="117"/>
      <c r="N67" s="117"/>
      <c r="O67" s="117"/>
      <c r="P67" s="117"/>
      <c r="Q67" s="117"/>
      <c r="R67" s="1">
        <v>7560</v>
      </c>
      <c r="S67" s="1">
        <v>6380</v>
      </c>
      <c r="T67" s="1">
        <v>4740</v>
      </c>
      <c r="U67" s="1">
        <v>6720</v>
      </c>
    </row>
    <row r="68" spans="1:21" x14ac:dyDescent="0.2">
      <c r="A68" s="26" t="s">
        <v>8</v>
      </c>
      <c r="B68" s="21"/>
      <c r="C68" s="22"/>
      <c r="D68" s="12"/>
      <c r="E68" s="12"/>
      <c r="F68" s="2"/>
      <c r="G68" s="54"/>
      <c r="H68" s="54"/>
      <c r="I68" s="54"/>
      <c r="J68" s="2"/>
      <c r="K68" s="2"/>
      <c r="L68" s="54"/>
      <c r="M68" s="117"/>
      <c r="N68" s="117"/>
      <c r="O68" s="117"/>
      <c r="P68" s="117"/>
      <c r="Q68" s="117"/>
      <c r="R68" s="2">
        <v>6120</v>
      </c>
      <c r="S68" s="1">
        <v>5960</v>
      </c>
      <c r="T68" s="1">
        <v>5600</v>
      </c>
      <c r="U68" s="1">
        <v>6320</v>
      </c>
    </row>
    <row r="69" spans="1:21" x14ac:dyDescent="0.2">
      <c r="A69" s="26" t="s">
        <v>9</v>
      </c>
      <c r="B69" s="21"/>
      <c r="C69" s="22"/>
      <c r="D69" s="12"/>
      <c r="E69" s="12"/>
      <c r="F69" s="2"/>
      <c r="G69" s="54"/>
      <c r="H69" s="54"/>
      <c r="I69" s="54"/>
      <c r="J69" s="2"/>
      <c r="K69" s="2"/>
      <c r="L69" s="54"/>
      <c r="M69" s="117"/>
      <c r="N69" s="117"/>
      <c r="O69" s="117"/>
      <c r="P69" s="117"/>
      <c r="Q69" s="117">
        <v>0</v>
      </c>
      <c r="R69" s="1">
        <v>7200</v>
      </c>
      <c r="S69" s="1">
        <v>4920</v>
      </c>
      <c r="T69" s="1">
        <v>5000</v>
      </c>
      <c r="U69" s="1">
        <v>5820</v>
      </c>
    </row>
    <row r="70" spans="1:21" x14ac:dyDescent="0.2">
      <c r="A70" s="26" t="s">
        <v>10</v>
      </c>
      <c r="B70" s="21"/>
      <c r="C70" s="22"/>
      <c r="D70" s="12"/>
      <c r="E70" s="12"/>
      <c r="F70" s="2"/>
      <c r="G70" s="54"/>
      <c r="H70" s="54"/>
      <c r="I70" s="54"/>
      <c r="J70" s="2"/>
      <c r="K70" s="2"/>
      <c r="L70" s="54"/>
      <c r="M70" s="117"/>
      <c r="N70" s="117"/>
      <c r="O70" s="117"/>
      <c r="P70" s="117"/>
      <c r="Q70" s="117">
        <v>6420</v>
      </c>
      <c r="R70" s="1">
        <v>5800</v>
      </c>
      <c r="S70" s="1">
        <v>5080</v>
      </c>
      <c r="T70" s="1">
        <v>5280</v>
      </c>
      <c r="U70" s="1">
        <v>6620</v>
      </c>
    </row>
    <row r="71" spans="1:21" x14ac:dyDescent="0.2">
      <c r="A71" s="26" t="s">
        <v>11</v>
      </c>
      <c r="B71" s="8"/>
      <c r="C71" s="23"/>
      <c r="D71" s="23"/>
      <c r="E71" s="23"/>
      <c r="F71" s="37"/>
      <c r="G71" s="61"/>
      <c r="H71" s="61"/>
      <c r="I71" s="61"/>
      <c r="J71" s="40"/>
      <c r="K71" s="40"/>
      <c r="L71" s="40"/>
      <c r="M71" s="95"/>
      <c r="N71" s="95"/>
      <c r="O71" s="95"/>
      <c r="P71" s="95"/>
      <c r="Q71" s="95">
        <v>6860</v>
      </c>
      <c r="R71" s="1">
        <v>4920</v>
      </c>
      <c r="S71" s="1">
        <v>5040</v>
      </c>
      <c r="T71" s="1">
        <v>4480</v>
      </c>
      <c r="U71" s="1">
        <v>6420</v>
      </c>
    </row>
    <row r="72" spans="1:21" x14ac:dyDescent="0.2">
      <c r="A72" s="25"/>
      <c r="B72" s="4"/>
      <c r="C72" s="14"/>
      <c r="D72" s="14"/>
      <c r="E72" s="14"/>
      <c r="F72" s="41"/>
      <c r="G72" s="41"/>
      <c r="H72" s="54"/>
      <c r="I72" s="54"/>
      <c r="J72" s="41"/>
      <c r="K72" s="41"/>
      <c r="L72" s="41"/>
      <c r="M72" s="96"/>
      <c r="N72" s="96"/>
      <c r="O72" s="96"/>
      <c r="P72" s="96">
        <f>SUM(P60:P71)</f>
        <v>0</v>
      </c>
      <c r="Q72" s="96">
        <f>SUM(Q60:Q71)</f>
        <v>13280</v>
      </c>
      <c r="R72" s="126">
        <f t="shared" ref="R72" si="6">SUM(R60:R71)</f>
        <v>74620</v>
      </c>
      <c r="S72" s="126">
        <f>SUM(S60:S71)</f>
        <v>75880</v>
      </c>
      <c r="T72" s="126">
        <f t="shared" ref="T72" si="7">SUM(T60:T71)</f>
        <v>61720</v>
      </c>
      <c r="U72" s="126">
        <f>SUM(U60:U71)</f>
        <v>72380</v>
      </c>
    </row>
    <row r="76" spans="1:21" x14ac:dyDescent="0.2">
      <c r="F76" s="2"/>
    </row>
    <row r="77" spans="1:21" x14ac:dyDescent="0.2">
      <c r="F77" s="2"/>
    </row>
    <row r="78" spans="1:21" x14ac:dyDescent="0.2">
      <c r="F78" s="2"/>
    </row>
    <row r="79" spans="1:21" x14ac:dyDescent="0.2">
      <c r="F79" s="2"/>
    </row>
    <row r="80" spans="1:21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6F21-7059-4D24-9C5D-58CB944F0FAC}">
  <dimension ref="A1:U63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19" width="9.28515625" bestFit="1" customWidth="1"/>
  </cols>
  <sheetData>
    <row r="1" spans="1:21" x14ac:dyDescent="0.2">
      <c r="A1" s="121"/>
    </row>
    <row r="2" spans="1:21" x14ac:dyDescent="0.2">
      <c r="A2" s="24" t="s">
        <v>423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0</v>
      </c>
      <c r="S5" s="117">
        <v>19711</v>
      </c>
      <c r="T5" s="1">
        <v>23448</v>
      </c>
      <c r="U5" s="1">
        <v>26859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15639</v>
      </c>
      <c r="S6" s="1">
        <v>26140</v>
      </c>
      <c r="T6" s="1">
        <v>19394</v>
      </c>
      <c r="U6" s="1">
        <v>20845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14234</v>
      </c>
      <c r="S7" s="1">
        <v>16807</v>
      </c>
      <c r="T7" s="1">
        <v>25381</v>
      </c>
      <c r="U7" s="1">
        <v>19770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16062</v>
      </c>
      <c r="S8" s="1">
        <v>21981</v>
      </c>
      <c r="T8" s="1">
        <v>22138</v>
      </c>
      <c r="U8" s="1">
        <v>22649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15179</v>
      </c>
      <c r="S9" s="1">
        <v>24083</v>
      </c>
      <c r="T9" s="1">
        <v>23575</v>
      </c>
      <c r="U9" s="1">
        <v>22257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17293</v>
      </c>
      <c r="S10" s="1">
        <v>25364</v>
      </c>
      <c r="T10" s="1">
        <v>34393</v>
      </c>
      <c r="U10" s="1">
        <v>29372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18667</v>
      </c>
      <c r="S11" s="1">
        <v>23783</v>
      </c>
      <c r="T11" s="1">
        <v>32144</v>
      </c>
      <c r="U11" s="1">
        <v>31093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24337</v>
      </c>
      <c r="S12" s="1">
        <v>23953</v>
      </c>
      <c r="T12" s="1">
        <v>27981</v>
      </c>
      <c r="U12" s="1">
        <v>31425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22978</v>
      </c>
      <c r="S13" s="1">
        <v>24664</v>
      </c>
      <c r="T13" s="1">
        <v>27521</v>
      </c>
      <c r="U13" s="1">
        <v>29591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20300</v>
      </c>
      <c r="S14" s="1">
        <v>23356</v>
      </c>
      <c r="T14" s="1">
        <v>27017</v>
      </c>
      <c r="U14" s="1">
        <v>29015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19421</v>
      </c>
      <c r="S15" s="1">
        <v>21126</v>
      </c>
      <c r="T15" s="1">
        <v>26960</v>
      </c>
      <c r="U15" s="1">
        <v>27003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19303</v>
      </c>
      <c r="S16" s="1">
        <v>23236</v>
      </c>
      <c r="T16" s="1">
        <v>26344</v>
      </c>
      <c r="U16" s="1">
        <v>28447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203413</v>
      </c>
      <c r="S17" s="126">
        <f>SUM(S5:S16)</f>
        <v>274204</v>
      </c>
      <c r="T17" s="126">
        <f t="shared" ref="T17" si="1">SUM(T5:T16)</f>
        <v>316296</v>
      </c>
      <c r="U17" s="126">
        <f>SUM(U5:U16)</f>
        <v>318326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424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1288</v>
      </c>
      <c r="T24" s="1">
        <v>1243</v>
      </c>
      <c r="U24" s="1">
        <v>992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538</v>
      </c>
      <c r="S25" s="117">
        <v>529</v>
      </c>
      <c r="T25" s="1">
        <v>852</v>
      </c>
      <c r="U25" s="1">
        <v>1036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802</v>
      </c>
      <c r="S26" s="1">
        <v>1149</v>
      </c>
      <c r="T26" s="1">
        <v>2340</v>
      </c>
      <c r="U26" s="1">
        <v>603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635</v>
      </c>
      <c r="S27" s="117">
        <v>857</v>
      </c>
      <c r="T27" s="1">
        <v>712</v>
      </c>
      <c r="U27" s="1">
        <v>2234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1061</v>
      </c>
      <c r="S28" s="117">
        <v>368</v>
      </c>
      <c r="T28" s="1">
        <v>526</v>
      </c>
      <c r="U28" s="1">
        <v>1500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348</v>
      </c>
      <c r="S29" s="117">
        <v>-93</v>
      </c>
      <c r="T29" s="1">
        <v>1259</v>
      </c>
      <c r="U29" s="1">
        <v>665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17">
        <v>763</v>
      </c>
      <c r="S30" s="1">
        <v>1039</v>
      </c>
      <c r="T30" s="1">
        <v>586</v>
      </c>
      <c r="U30" s="1">
        <v>714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17">
        <v>461</v>
      </c>
      <c r="S31" s="1">
        <v>587</v>
      </c>
      <c r="T31" s="117">
        <v>4837</v>
      </c>
      <c r="U31" s="1">
        <v>593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117">
        <v>784</v>
      </c>
      <c r="S32" s="1">
        <v>1040</v>
      </c>
      <c r="T32" s="1">
        <v>612</v>
      </c>
      <c r="U32" s="1">
        <v>829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787</v>
      </c>
      <c r="S33" s="117">
        <v>1206</v>
      </c>
      <c r="T33" s="1">
        <v>3833</v>
      </c>
      <c r="U33" s="1">
        <v>759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17">
        <v>723</v>
      </c>
      <c r="S34" s="1">
        <v>1147</v>
      </c>
      <c r="T34" s="1">
        <v>959</v>
      </c>
      <c r="U34" s="1">
        <v>1544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95">
        <v>407</v>
      </c>
      <c r="S35" s="162">
        <v>814</v>
      </c>
      <c r="T35" s="1">
        <v>1293</v>
      </c>
      <c r="U35" s="1">
        <v>1377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7309</v>
      </c>
      <c r="S36" s="126">
        <f>SUM(S24:S35)</f>
        <v>9931</v>
      </c>
      <c r="T36" s="126">
        <f t="shared" ref="T36" si="3">SUM(T24:T35)</f>
        <v>19052</v>
      </c>
      <c r="U36" s="126">
        <f>SUM(U24:U35)</f>
        <v>12846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425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-391</v>
      </c>
      <c r="T43" s="1">
        <v>-42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-1</v>
      </c>
      <c r="T44" s="1">
        <v>0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0</v>
      </c>
      <c r="U46" s="1">
        <v>-223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0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-362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-35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17">
        <v>0</v>
      </c>
      <c r="T53" s="1">
        <v>-32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0</v>
      </c>
      <c r="S54" s="126">
        <f>SUM(S42:S53)</f>
        <v>-427</v>
      </c>
      <c r="T54" s="126">
        <f t="shared" ref="T54" si="5">SUM(T42:T53)</f>
        <v>-436</v>
      </c>
      <c r="U54" s="126">
        <f>SUM(U42:U53)</f>
        <v>-223</v>
      </c>
    </row>
    <row r="55" spans="1:21" x14ac:dyDescent="0.2">
      <c r="F55" s="2"/>
    </row>
    <row r="59" spans="1:21" x14ac:dyDescent="0.2">
      <c r="F59" s="2"/>
    </row>
    <row r="60" spans="1:21" x14ac:dyDescent="0.2">
      <c r="F60" s="2"/>
    </row>
    <row r="61" spans="1:21" x14ac:dyDescent="0.2">
      <c r="F61" s="2"/>
    </row>
    <row r="62" spans="1:21" x14ac:dyDescent="0.2">
      <c r="F62" s="2"/>
    </row>
    <row r="63" spans="1:21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1A05-3B5F-42AB-844B-9CAB976C1358}">
  <dimension ref="A1:U63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0" width="9.28515625" bestFit="1" customWidth="1"/>
  </cols>
  <sheetData>
    <row r="1" spans="1:21" x14ac:dyDescent="0.2">
      <c r="A1" s="121"/>
    </row>
    <row r="2" spans="1:21" x14ac:dyDescent="0.2">
      <c r="A2" s="24" t="s">
        <v>426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0</v>
      </c>
      <c r="S5" s="1">
        <v>41918</v>
      </c>
      <c r="T5" s="1">
        <v>55526</v>
      </c>
      <c r="U5" s="1">
        <v>62206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29118</v>
      </c>
      <c r="S6" s="1">
        <v>39427</v>
      </c>
      <c r="T6" s="1">
        <v>47276</v>
      </c>
      <c r="U6" s="1">
        <v>50537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26821</v>
      </c>
      <c r="S7" s="1">
        <v>38413</v>
      </c>
      <c r="T7" s="1">
        <v>51567</v>
      </c>
      <c r="U7" s="1">
        <v>51804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30638</v>
      </c>
      <c r="S8" s="1">
        <v>51808</v>
      </c>
      <c r="T8" s="1">
        <v>54900</v>
      </c>
      <c r="U8" s="1">
        <v>55222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33950</v>
      </c>
      <c r="S9" s="1">
        <v>51406</v>
      </c>
      <c r="T9" s="1">
        <v>54077</v>
      </c>
      <c r="U9" s="1">
        <v>54405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48776</v>
      </c>
      <c r="S10" s="1">
        <v>55982</v>
      </c>
      <c r="T10" s="1">
        <v>69264</v>
      </c>
      <c r="U10" s="1">
        <v>73788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46668</v>
      </c>
      <c r="S11" s="1">
        <v>64868</v>
      </c>
      <c r="T11" s="1">
        <v>75330</v>
      </c>
      <c r="U11" s="1">
        <v>85736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53258</v>
      </c>
      <c r="S12" s="1">
        <v>61958</v>
      </c>
      <c r="T12" s="1">
        <v>73779</v>
      </c>
      <c r="U12" s="1">
        <v>72510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46178</v>
      </c>
      <c r="S13" s="1">
        <v>51829</v>
      </c>
      <c r="T13" s="1">
        <v>66090</v>
      </c>
      <c r="U13" s="1">
        <v>84216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47860</v>
      </c>
      <c r="S14" s="1">
        <v>56762</v>
      </c>
      <c r="T14" s="1">
        <v>59813</v>
      </c>
      <c r="U14" s="1">
        <v>73178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44436</v>
      </c>
      <c r="S15" s="1">
        <v>53455</v>
      </c>
      <c r="T15" s="1">
        <v>62855</v>
      </c>
      <c r="U15" s="1">
        <v>62916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35480</v>
      </c>
      <c r="S16" s="1">
        <v>52648</v>
      </c>
      <c r="T16" s="1">
        <v>56569</v>
      </c>
      <c r="U16" s="1">
        <v>52324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443183</v>
      </c>
      <c r="S17" s="126">
        <f>SUM(S5:S16)</f>
        <v>620474</v>
      </c>
      <c r="T17" s="126">
        <f t="shared" ref="T17" si="1">SUM(T5:T16)</f>
        <v>727046</v>
      </c>
      <c r="U17" s="126">
        <f>SUM(U5:U16)</f>
        <v>778842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427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6344</v>
      </c>
      <c r="T24" s="1">
        <v>3064</v>
      </c>
      <c r="U24" s="1">
        <v>4907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1391</v>
      </c>
      <c r="S25" s="1">
        <v>4067</v>
      </c>
      <c r="T25" s="1">
        <v>2747</v>
      </c>
      <c r="U25" s="1">
        <v>3443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3813</v>
      </c>
      <c r="S26" s="1">
        <v>3081</v>
      </c>
      <c r="T26" s="1">
        <v>6030</v>
      </c>
      <c r="U26" s="1">
        <v>2848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5214</v>
      </c>
      <c r="S27" s="1">
        <v>6619</v>
      </c>
      <c r="T27" s="1">
        <v>3817</v>
      </c>
      <c r="U27" s="1">
        <v>3341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4389</v>
      </c>
      <c r="S28" s="1">
        <v>5222</v>
      </c>
      <c r="T28" s="1">
        <v>3226</v>
      </c>
      <c r="U28" s="1">
        <v>3717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7">
        <v>3796</v>
      </c>
      <c r="S29" s="1">
        <v>5953</v>
      </c>
      <c r="T29" s="1">
        <v>3260</v>
      </c>
      <c r="U29" s="1">
        <v>4506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4918</v>
      </c>
      <c r="S30" s="1">
        <v>5589</v>
      </c>
      <c r="T30" s="1">
        <v>3302</v>
      </c>
      <c r="U30" s="1">
        <v>6281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5185</v>
      </c>
      <c r="S31" s="1">
        <v>3763</v>
      </c>
      <c r="T31" s="1">
        <v>3188</v>
      </c>
      <c r="U31" s="1">
        <v>3564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7214</v>
      </c>
      <c r="S32" s="1">
        <v>5034</v>
      </c>
      <c r="T32" s="1">
        <v>4327</v>
      </c>
      <c r="U32" s="1">
        <v>5775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4584</v>
      </c>
      <c r="S33" s="1">
        <v>5170</v>
      </c>
      <c r="T33" s="1">
        <v>3393</v>
      </c>
      <c r="U33" s="1">
        <v>5308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6311</v>
      </c>
      <c r="S34" s="1">
        <v>3635</v>
      </c>
      <c r="T34" s="1">
        <v>3515</v>
      </c>
      <c r="U34" s="1">
        <v>3574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3354</v>
      </c>
      <c r="S35" s="1">
        <v>3467</v>
      </c>
      <c r="T35" s="1">
        <v>2556</v>
      </c>
      <c r="U35" s="1">
        <v>2542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50169</v>
      </c>
      <c r="S36" s="126">
        <f>SUM(S24:S35)</f>
        <v>57944</v>
      </c>
      <c r="T36" s="126">
        <f t="shared" ref="T36" si="3">SUM(T24:T35)</f>
        <v>42425</v>
      </c>
      <c r="U36" s="126">
        <f>SUM(U24:U35)</f>
        <v>49806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428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0</v>
      </c>
      <c r="U43" s="1">
        <v>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-258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0</v>
      </c>
      <c r="U45" s="1">
        <v>0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-1</v>
      </c>
      <c r="T46" s="1">
        <v>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-34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-28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-167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17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0</v>
      </c>
      <c r="S54" s="126">
        <f>SUM(S42:S53)</f>
        <v>-1</v>
      </c>
      <c r="T54" s="126">
        <f t="shared" ref="T54" si="5">SUM(T42:T53)</f>
        <v>-459</v>
      </c>
      <c r="U54" s="126">
        <f>SUM(U42:U53)</f>
        <v>-28</v>
      </c>
    </row>
    <row r="55" spans="1:21" x14ac:dyDescent="0.2">
      <c r="F55" s="2"/>
    </row>
    <row r="59" spans="1:21" x14ac:dyDescent="0.2">
      <c r="F59" s="2"/>
    </row>
    <row r="60" spans="1:21" x14ac:dyDescent="0.2">
      <c r="F60" s="2"/>
    </row>
    <row r="61" spans="1:21" x14ac:dyDescent="0.2">
      <c r="F61" s="2"/>
    </row>
    <row r="62" spans="1:21" x14ac:dyDescent="0.2">
      <c r="F62" s="2"/>
    </row>
    <row r="63" spans="1:21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8E8B-3DE7-4958-AB3D-C88B141C1C0C}">
  <dimension ref="A1:U63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1" width="10.7109375" bestFit="1" customWidth="1"/>
  </cols>
  <sheetData>
    <row r="1" spans="1:21" x14ac:dyDescent="0.2">
      <c r="A1" s="121"/>
    </row>
    <row r="2" spans="1:21" x14ac:dyDescent="0.2">
      <c r="A2" s="24" t="s">
        <v>429</v>
      </c>
      <c r="B2" s="6">
        <v>0.01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0</v>
      </c>
      <c r="S5" s="1">
        <v>178048</v>
      </c>
      <c r="T5" s="1">
        <v>165297</v>
      </c>
      <c r="U5" s="1">
        <v>203203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86090</v>
      </c>
      <c r="S6" s="1">
        <v>143815</v>
      </c>
      <c r="T6" s="1">
        <v>153600</v>
      </c>
      <c r="U6" s="1">
        <v>166103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98418</v>
      </c>
      <c r="S7" s="1">
        <v>145429</v>
      </c>
      <c r="T7" s="1">
        <v>174315</v>
      </c>
      <c r="U7" s="1">
        <v>158103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139773</v>
      </c>
      <c r="S8" s="1">
        <v>202179</v>
      </c>
      <c r="T8" s="1">
        <v>182937</v>
      </c>
      <c r="U8" s="1">
        <v>192324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220928</v>
      </c>
      <c r="S9" s="1">
        <v>180577</v>
      </c>
      <c r="T9" s="1">
        <v>167685</v>
      </c>
      <c r="U9" s="1">
        <v>173265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179907</v>
      </c>
      <c r="S10" s="1">
        <v>209000</v>
      </c>
      <c r="T10" s="1">
        <v>313466</v>
      </c>
      <c r="U10" s="1">
        <v>241165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131203</v>
      </c>
      <c r="S11" s="1">
        <v>220452</v>
      </c>
      <c r="T11" s="1">
        <v>206710</v>
      </c>
      <c r="U11" s="1">
        <v>246167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240297</v>
      </c>
      <c r="S12" s="1">
        <v>209055</v>
      </c>
      <c r="T12" s="1">
        <v>191214</v>
      </c>
      <c r="U12" s="1">
        <v>212657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170543</v>
      </c>
      <c r="S13" s="1">
        <v>188513</v>
      </c>
      <c r="T13" s="1">
        <v>211583</v>
      </c>
      <c r="U13" s="1">
        <v>232317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179351</v>
      </c>
      <c r="S14" s="1">
        <v>244768</v>
      </c>
      <c r="T14" s="1">
        <v>199549</v>
      </c>
      <c r="U14" s="1">
        <v>220850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167463</v>
      </c>
      <c r="S15" s="1">
        <v>185272</v>
      </c>
      <c r="T15" s="1">
        <v>182916</v>
      </c>
      <c r="U15" s="1">
        <v>206955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158472</v>
      </c>
      <c r="S16" s="1">
        <v>151706</v>
      </c>
      <c r="T16" s="1">
        <v>284092</v>
      </c>
      <c r="U16" s="1">
        <v>190902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1772445</v>
      </c>
      <c r="S17" s="126">
        <f>SUM(S5:S16)</f>
        <v>2258814</v>
      </c>
      <c r="T17" s="126">
        <f t="shared" ref="T17" si="1">SUM(T5:T16)</f>
        <v>2433364</v>
      </c>
      <c r="U17" s="126">
        <f>SUM(U5:U16)</f>
        <v>2444011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430</v>
      </c>
      <c r="B21" s="6">
        <v>0.01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10928</v>
      </c>
      <c r="T24" s="1">
        <v>11870</v>
      </c>
      <c r="U24" s="1">
        <v>9718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10304</v>
      </c>
      <c r="S25" s="1">
        <v>8418</v>
      </c>
      <c r="T25" s="1">
        <v>10934</v>
      </c>
      <c r="U25" s="1">
        <v>7733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6235</v>
      </c>
      <c r="S26" s="1">
        <v>7755</v>
      </c>
      <c r="T26" s="1">
        <v>13359</v>
      </c>
      <c r="U26" s="1">
        <v>7927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5056</v>
      </c>
      <c r="S27" s="1">
        <v>8239</v>
      </c>
      <c r="T27" s="1">
        <v>18301</v>
      </c>
      <c r="U27" s="1">
        <v>7770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5563</v>
      </c>
      <c r="S28" s="1">
        <v>8030</v>
      </c>
      <c r="T28" s="1">
        <v>12544</v>
      </c>
      <c r="U28" s="1">
        <v>7201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8455</v>
      </c>
      <c r="S29" s="1">
        <v>10649</v>
      </c>
      <c r="T29" s="1">
        <v>14299</v>
      </c>
      <c r="U29" s="1">
        <v>9031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8524</v>
      </c>
      <c r="S30" s="1">
        <v>12259</v>
      </c>
      <c r="T30" s="1">
        <v>15728</v>
      </c>
      <c r="U30" s="1">
        <v>19499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6220</v>
      </c>
      <c r="S31" s="1">
        <v>10281</v>
      </c>
      <c r="T31" s="1">
        <v>13049</v>
      </c>
      <c r="U31" s="1">
        <v>17245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9436</v>
      </c>
      <c r="S32" s="1">
        <v>12766</v>
      </c>
      <c r="T32" s="1">
        <v>15552</v>
      </c>
      <c r="U32" s="1">
        <v>10703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6151</v>
      </c>
      <c r="S33" s="1">
        <v>20025</v>
      </c>
      <c r="T33" s="1">
        <v>20092</v>
      </c>
      <c r="U33" s="1">
        <v>11542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10408</v>
      </c>
      <c r="S34" s="1">
        <v>16836</v>
      </c>
      <c r="T34" s="1">
        <v>10838</v>
      </c>
      <c r="U34" s="1">
        <v>11076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12059</v>
      </c>
      <c r="S35" s="1">
        <v>13312</v>
      </c>
      <c r="T35" s="1">
        <v>10849</v>
      </c>
      <c r="U35" s="1">
        <v>10617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88411</v>
      </c>
      <c r="S36" s="126">
        <f>SUM(S24:S35)</f>
        <v>139498</v>
      </c>
      <c r="T36" s="126">
        <f t="shared" ref="T36" si="3">SUM(T24:T35)</f>
        <v>167415</v>
      </c>
      <c r="U36" s="126">
        <f>SUM(U24:U35)</f>
        <v>130062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431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-4</v>
      </c>
      <c r="U43" s="1">
        <v>-10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-28</v>
      </c>
      <c r="T44" s="1">
        <v>0</v>
      </c>
      <c r="U44" s="1">
        <v>-55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-47</v>
      </c>
      <c r="T45" s="1">
        <v>0</v>
      </c>
      <c r="U45" s="1">
        <v>-181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-100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0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-3</v>
      </c>
      <c r="S48" s="117">
        <v>0</v>
      </c>
      <c r="T48" s="1">
        <v>-857</v>
      </c>
      <c r="U48" s="1">
        <v>0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-6857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0</v>
      </c>
      <c r="S50" s="117">
        <v>0</v>
      </c>
      <c r="T50" s="1">
        <v>0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-39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17">
        <v>0</v>
      </c>
      <c r="T53" s="1">
        <v>-137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-3</v>
      </c>
      <c r="S54" s="126">
        <f>SUM(S42:S53)</f>
        <v>-75</v>
      </c>
      <c r="T54" s="126">
        <f t="shared" ref="T54" si="5">SUM(T42:T53)</f>
        <v>-7994</v>
      </c>
      <c r="U54" s="126">
        <f>SUM(U42:U53)</f>
        <v>-246</v>
      </c>
    </row>
    <row r="55" spans="1:21" x14ac:dyDescent="0.2">
      <c r="F55" s="2"/>
    </row>
    <row r="59" spans="1:21" x14ac:dyDescent="0.2">
      <c r="F59" s="2"/>
    </row>
    <row r="60" spans="1:21" x14ac:dyDescent="0.2">
      <c r="F60" s="2"/>
    </row>
    <row r="61" spans="1:21" x14ac:dyDescent="0.2">
      <c r="F61" s="2"/>
    </row>
    <row r="62" spans="1:21" x14ac:dyDescent="0.2">
      <c r="F62" s="2"/>
    </row>
    <row r="63" spans="1:21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4F66-14B5-4384-B35C-FD5BADAC56D2}">
  <dimension ref="A1:U63"/>
  <sheetViews>
    <sheetView workbookViewId="0">
      <pane xSplit="1" topLeftCell="R1" activePane="topRight" state="frozen"/>
      <selection pane="topRight" activeCell="V5" sqref="V5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1" width="10.7109375" bestFit="1" customWidth="1"/>
  </cols>
  <sheetData>
    <row r="1" spans="1:21" x14ac:dyDescent="0.2">
      <c r="A1" s="121"/>
    </row>
    <row r="2" spans="1:21" x14ac:dyDescent="0.2">
      <c r="A2" s="24" t="s">
        <v>409</v>
      </c>
      <c r="B2" s="6">
        <v>5.0000000000000001E-3</v>
      </c>
      <c r="D2" s="94" t="s">
        <v>412</v>
      </c>
    </row>
    <row r="3" spans="1:21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6">
        <v>2020</v>
      </c>
      <c r="S3" s="86">
        <v>2021</v>
      </c>
      <c r="T3" s="86">
        <v>2022</v>
      </c>
      <c r="U3" s="86">
        <v>2023</v>
      </c>
    </row>
    <row r="4" spans="1:21" x14ac:dyDescent="0.2">
      <c r="A4" s="25"/>
      <c r="G4" s="32"/>
      <c r="L4" s="94"/>
    </row>
    <row r="5" spans="1:21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2"/>
      <c r="M5" s="117"/>
      <c r="N5" s="117"/>
      <c r="O5" s="117"/>
      <c r="P5" s="117"/>
      <c r="Q5" s="117"/>
      <c r="R5" s="117">
        <v>1</v>
      </c>
      <c r="S5" s="1">
        <v>154475</v>
      </c>
      <c r="T5" s="1">
        <v>155497</v>
      </c>
      <c r="U5" s="1">
        <v>187070</v>
      </c>
    </row>
    <row r="6" spans="1:21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2"/>
      <c r="M6" s="117"/>
      <c r="N6" s="117"/>
      <c r="O6" s="117"/>
      <c r="P6" s="117"/>
      <c r="Q6" s="117"/>
      <c r="R6" s="113">
        <v>97383</v>
      </c>
      <c r="S6" s="1">
        <v>131102</v>
      </c>
      <c r="T6" s="1">
        <v>159257</v>
      </c>
      <c r="U6" s="1">
        <v>150592</v>
      </c>
    </row>
    <row r="7" spans="1:21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6"/>
      <c r="M7" s="117"/>
      <c r="N7" s="117"/>
      <c r="O7" s="117"/>
      <c r="P7" s="117"/>
      <c r="Q7" s="117"/>
      <c r="R7" s="113">
        <v>102048</v>
      </c>
      <c r="S7" s="1">
        <v>120601</v>
      </c>
      <c r="T7" s="1">
        <v>157438</v>
      </c>
      <c r="U7" s="1">
        <v>140356</v>
      </c>
    </row>
    <row r="8" spans="1:21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6"/>
      <c r="M8" s="117"/>
      <c r="N8" s="117"/>
      <c r="O8" s="117"/>
      <c r="P8" s="117"/>
      <c r="Q8" s="117"/>
      <c r="R8" s="117">
        <v>129158</v>
      </c>
      <c r="S8" s="1">
        <v>168154</v>
      </c>
      <c r="T8" s="1">
        <v>173551</v>
      </c>
      <c r="U8" s="1">
        <v>176128</v>
      </c>
    </row>
    <row r="9" spans="1:21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6"/>
      <c r="M9" s="117"/>
      <c r="N9" s="117"/>
      <c r="O9" s="117"/>
      <c r="P9" s="117"/>
      <c r="Q9" s="117"/>
      <c r="R9" s="117">
        <v>163135</v>
      </c>
      <c r="S9" s="1">
        <v>141877</v>
      </c>
      <c r="T9" s="1">
        <v>158808</v>
      </c>
      <c r="U9" s="1">
        <v>166325</v>
      </c>
    </row>
    <row r="10" spans="1:21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6"/>
      <c r="M10" s="117"/>
      <c r="N10" s="117"/>
      <c r="O10" s="117"/>
      <c r="P10" s="117"/>
      <c r="Q10" s="117"/>
      <c r="R10" s="113">
        <v>122758</v>
      </c>
      <c r="S10" s="1">
        <v>169551</v>
      </c>
      <c r="T10" s="1">
        <v>257504</v>
      </c>
      <c r="U10" s="1">
        <v>190094</v>
      </c>
    </row>
    <row r="11" spans="1:21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6"/>
      <c r="M11" s="117"/>
      <c r="N11" s="117"/>
      <c r="O11" s="117"/>
      <c r="P11" s="117"/>
      <c r="Q11" s="117"/>
      <c r="R11" s="1">
        <v>127224</v>
      </c>
      <c r="S11" s="1">
        <v>171230</v>
      </c>
      <c r="T11" s="1">
        <v>179995</v>
      </c>
      <c r="U11" s="1">
        <v>198456</v>
      </c>
    </row>
    <row r="12" spans="1:21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6"/>
      <c r="M12" s="117"/>
      <c r="N12" s="117"/>
      <c r="O12" s="117"/>
      <c r="P12" s="117"/>
      <c r="Q12" s="117"/>
      <c r="R12" s="1">
        <v>177450</v>
      </c>
      <c r="S12" s="1">
        <v>184995</v>
      </c>
      <c r="T12" s="1">
        <v>158142</v>
      </c>
      <c r="U12" s="1">
        <v>176576</v>
      </c>
    </row>
    <row r="13" spans="1:21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6"/>
      <c r="M13" s="117"/>
      <c r="N13" s="117"/>
      <c r="O13" s="117"/>
      <c r="P13" s="117"/>
      <c r="Q13" s="117"/>
      <c r="R13" s="2">
        <v>145583</v>
      </c>
      <c r="S13" s="1">
        <v>147678</v>
      </c>
      <c r="T13" s="1">
        <v>162699</v>
      </c>
      <c r="U13" s="1">
        <v>178633</v>
      </c>
    </row>
    <row r="14" spans="1:21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6"/>
      <c r="M14" s="117"/>
      <c r="N14" s="117"/>
      <c r="O14" s="117"/>
      <c r="P14" s="117"/>
      <c r="Q14" s="117"/>
      <c r="R14" s="1">
        <v>151715</v>
      </c>
      <c r="S14" s="1">
        <v>185443</v>
      </c>
      <c r="T14" s="1">
        <v>161938</v>
      </c>
      <c r="U14" s="1">
        <v>187622</v>
      </c>
    </row>
    <row r="15" spans="1:21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6"/>
      <c r="M15" s="117"/>
      <c r="N15" s="117"/>
      <c r="O15" s="117"/>
      <c r="P15" s="117"/>
      <c r="Q15" s="117"/>
      <c r="R15" s="1">
        <v>143053</v>
      </c>
      <c r="S15" s="1">
        <v>154055</v>
      </c>
      <c r="T15" s="1">
        <v>175198</v>
      </c>
      <c r="U15" s="1">
        <v>199348</v>
      </c>
    </row>
    <row r="16" spans="1:21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5"/>
      <c r="M16" s="95"/>
      <c r="N16" s="95"/>
      <c r="O16" s="95"/>
      <c r="P16" s="95"/>
      <c r="Q16" s="95"/>
      <c r="R16" s="1">
        <v>138631</v>
      </c>
      <c r="S16" s="1">
        <v>176126</v>
      </c>
      <c r="T16" s="1">
        <v>250754</v>
      </c>
      <c r="U16" s="1">
        <v>198102</v>
      </c>
    </row>
    <row r="17" spans="1:21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6"/>
      <c r="M17" s="96"/>
      <c r="N17" s="96"/>
      <c r="O17" s="96"/>
      <c r="P17" s="96"/>
      <c r="Q17" s="96"/>
      <c r="R17" s="126">
        <f t="shared" ref="R17" si="0">SUM(R5:R16)</f>
        <v>1498139</v>
      </c>
      <c r="S17" s="126">
        <f>SUM(S5:S16)</f>
        <v>1905287</v>
      </c>
      <c r="T17" s="126">
        <f t="shared" ref="T17" si="1">SUM(T5:T16)</f>
        <v>2150781</v>
      </c>
      <c r="U17" s="126">
        <f>SUM(U5:U16)</f>
        <v>2149302</v>
      </c>
    </row>
    <row r="18" spans="1:21" x14ac:dyDescent="0.2">
      <c r="A18" s="25"/>
      <c r="B18" s="4"/>
      <c r="F18" s="2"/>
      <c r="H18" s="2"/>
      <c r="L18" s="94"/>
    </row>
    <row r="19" spans="1:21" x14ac:dyDescent="0.2">
      <c r="A19" s="25"/>
      <c r="B19" s="4"/>
      <c r="F19" s="35"/>
      <c r="H19" s="2"/>
      <c r="L19" s="94"/>
    </row>
    <row r="20" spans="1:21" x14ac:dyDescent="0.2">
      <c r="F20" s="35"/>
      <c r="H20" s="2"/>
      <c r="L20" s="94"/>
    </row>
    <row r="21" spans="1:21" x14ac:dyDescent="0.2">
      <c r="A21" s="24" t="s">
        <v>410</v>
      </c>
      <c r="B21" s="6">
        <v>5.0000000000000001E-3</v>
      </c>
      <c r="D21" s="94" t="s">
        <v>412</v>
      </c>
      <c r="F21" s="2"/>
      <c r="H21" s="2"/>
      <c r="L21" s="94"/>
    </row>
    <row r="22" spans="1:21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6">
        <v>2020</v>
      </c>
      <c r="S22" s="86">
        <v>2021</v>
      </c>
      <c r="T22" s="86">
        <v>2022</v>
      </c>
      <c r="U22" s="86">
        <v>2023</v>
      </c>
    </row>
    <row r="23" spans="1:21" x14ac:dyDescent="0.2">
      <c r="A23" s="25"/>
      <c r="F23" s="2"/>
      <c r="G23" s="32"/>
      <c r="H23" s="2"/>
    </row>
    <row r="24" spans="1:21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2"/>
      <c r="M24" s="117"/>
      <c r="N24" s="117"/>
      <c r="O24" s="117"/>
      <c r="P24" s="117"/>
      <c r="Q24" s="117"/>
      <c r="R24" s="117">
        <v>0</v>
      </c>
      <c r="S24" s="1">
        <v>2426</v>
      </c>
      <c r="T24" s="1">
        <v>5361</v>
      </c>
      <c r="U24" s="1">
        <v>4744</v>
      </c>
    </row>
    <row r="25" spans="1:21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2"/>
      <c r="M25" s="117"/>
      <c r="N25" s="117"/>
      <c r="O25" s="117"/>
      <c r="P25" s="117"/>
      <c r="Q25" s="117"/>
      <c r="R25" s="113">
        <v>1267</v>
      </c>
      <c r="S25" s="1">
        <v>3407</v>
      </c>
      <c r="T25" s="1">
        <v>2528</v>
      </c>
      <c r="U25" s="1">
        <v>2951</v>
      </c>
    </row>
    <row r="26" spans="1:21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2"/>
      <c r="M26" s="117"/>
      <c r="N26" s="117"/>
      <c r="O26" s="117"/>
      <c r="P26" s="117"/>
      <c r="Q26" s="117"/>
      <c r="R26" s="113">
        <v>1113</v>
      </c>
      <c r="S26" s="1">
        <v>3229</v>
      </c>
      <c r="T26" s="1">
        <v>3357</v>
      </c>
      <c r="U26" s="1">
        <v>6417</v>
      </c>
    </row>
    <row r="27" spans="1:21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2"/>
      <c r="M27" s="117"/>
      <c r="N27" s="117"/>
      <c r="O27" s="117"/>
      <c r="P27" s="117"/>
      <c r="Q27" s="117"/>
      <c r="R27" s="117">
        <v>1848</v>
      </c>
      <c r="S27" s="1">
        <v>2516</v>
      </c>
      <c r="T27" s="1">
        <v>4299</v>
      </c>
      <c r="U27" s="1">
        <v>4491</v>
      </c>
    </row>
    <row r="28" spans="1:21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2"/>
      <c r="M28" s="117"/>
      <c r="N28" s="117"/>
      <c r="O28" s="117"/>
      <c r="P28" s="117"/>
      <c r="Q28" s="117"/>
      <c r="R28" s="117">
        <v>1604</v>
      </c>
      <c r="S28" s="1">
        <v>2624</v>
      </c>
      <c r="T28" s="1">
        <v>2574</v>
      </c>
      <c r="U28" s="1">
        <v>2655</v>
      </c>
    </row>
    <row r="29" spans="1:21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2"/>
      <c r="M29" s="117"/>
      <c r="N29" s="117"/>
      <c r="O29" s="117"/>
      <c r="P29" s="117"/>
      <c r="Q29" s="117"/>
      <c r="R29" s="113">
        <v>1539</v>
      </c>
      <c r="S29" s="1">
        <v>3288</v>
      </c>
      <c r="T29" s="1">
        <v>3716</v>
      </c>
      <c r="U29" s="1">
        <v>6416</v>
      </c>
    </row>
    <row r="30" spans="1:21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2"/>
      <c r="M30" s="117"/>
      <c r="N30" s="117"/>
      <c r="O30" s="117"/>
      <c r="P30" s="117"/>
      <c r="Q30" s="117"/>
      <c r="R30" s="1">
        <v>2990</v>
      </c>
      <c r="S30" s="1">
        <v>3450</v>
      </c>
      <c r="T30" s="1">
        <v>2914</v>
      </c>
      <c r="U30" s="1">
        <v>7682</v>
      </c>
    </row>
    <row r="31" spans="1:21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2"/>
      <c r="M31" s="117"/>
      <c r="N31" s="117"/>
      <c r="O31" s="117"/>
      <c r="P31" s="117"/>
      <c r="Q31" s="117"/>
      <c r="R31" s="1">
        <v>2507</v>
      </c>
      <c r="S31" s="1">
        <v>2372</v>
      </c>
      <c r="T31" s="1">
        <v>3607</v>
      </c>
      <c r="U31" s="1">
        <v>3156</v>
      </c>
    </row>
    <row r="32" spans="1:21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2"/>
      <c r="M32" s="117"/>
      <c r="N32" s="117"/>
      <c r="O32" s="117"/>
      <c r="P32" s="117"/>
      <c r="Q32" s="117"/>
      <c r="R32" s="2">
        <v>2840</v>
      </c>
      <c r="S32" s="1">
        <v>3381</v>
      </c>
      <c r="T32" s="1">
        <v>3372</v>
      </c>
      <c r="U32" s="1">
        <v>6637</v>
      </c>
    </row>
    <row r="33" spans="1:21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2"/>
      <c r="M33" s="117"/>
      <c r="N33" s="117"/>
      <c r="O33" s="117"/>
      <c r="P33" s="117"/>
      <c r="Q33" s="117"/>
      <c r="R33" s="1">
        <v>2131</v>
      </c>
      <c r="S33" s="1">
        <v>3508</v>
      </c>
      <c r="T33" s="1">
        <v>3721</v>
      </c>
      <c r="U33" s="1">
        <v>9898</v>
      </c>
    </row>
    <row r="34" spans="1:21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2"/>
      <c r="M34" s="117"/>
      <c r="N34" s="117"/>
      <c r="O34" s="117"/>
      <c r="P34" s="117"/>
      <c r="Q34" s="117"/>
      <c r="R34" s="1">
        <v>2186</v>
      </c>
      <c r="S34" s="1">
        <v>3127</v>
      </c>
      <c r="T34" s="1">
        <v>3986</v>
      </c>
      <c r="U34" s="1">
        <v>7254</v>
      </c>
    </row>
    <row r="35" spans="1:21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5"/>
      <c r="M35" s="95"/>
      <c r="N35" s="95"/>
      <c r="O35" s="95"/>
      <c r="P35" s="95"/>
      <c r="Q35" s="95"/>
      <c r="R35" s="1">
        <v>1936</v>
      </c>
      <c r="S35" s="1">
        <v>2660</v>
      </c>
      <c r="T35" s="1">
        <v>4513</v>
      </c>
      <c r="U35" s="1">
        <v>5687</v>
      </c>
    </row>
    <row r="36" spans="1:21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6"/>
      <c r="M36" s="96"/>
      <c r="N36" s="96"/>
      <c r="O36" s="96"/>
      <c r="P36" s="96"/>
      <c r="Q36" s="96"/>
      <c r="R36" s="126">
        <f t="shared" ref="R36" si="2">SUM(R24:R35)</f>
        <v>21961</v>
      </c>
      <c r="S36" s="126">
        <f>SUM(S24:S35)</f>
        <v>35988</v>
      </c>
      <c r="T36" s="126">
        <f t="shared" ref="T36" si="3">SUM(T24:T35)</f>
        <v>43948</v>
      </c>
      <c r="U36" s="126">
        <f>SUM(U24:U35)</f>
        <v>67988</v>
      </c>
    </row>
    <row r="37" spans="1:21" x14ac:dyDescent="0.2">
      <c r="A37" s="25"/>
      <c r="B37" s="4"/>
      <c r="F37" s="2"/>
      <c r="H37" s="2"/>
      <c r="L37" s="94"/>
    </row>
    <row r="38" spans="1:21" x14ac:dyDescent="0.2">
      <c r="A38" s="25"/>
      <c r="F38" s="2"/>
      <c r="H38" s="2"/>
    </row>
    <row r="39" spans="1:21" x14ac:dyDescent="0.2">
      <c r="A39" s="24" t="s">
        <v>411</v>
      </c>
      <c r="F39" s="2"/>
    </row>
    <row r="40" spans="1:21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6">
        <v>2020</v>
      </c>
      <c r="S40" s="86">
        <v>2021</v>
      </c>
      <c r="T40" s="86">
        <v>2022</v>
      </c>
      <c r="U40" s="86">
        <v>2023</v>
      </c>
    </row>
    <row r="41" spans="1:21" x14ac:dyDescent="0.2">
      <c r="A41" s="25"/>
      <c r="F41" s="2"/>
      <c r="G41" s="32"/>
      <c r="H41" s="2"/>
    </row>
    <row r="42" spans="1:21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7"/>
      <c r="N42" s="117"/>
      <c r="O42" s="117"/>
      <c r="P42" s="117"/>
      <c r="Q42" s="117"/>
      <c r="R42" s="117">
        <v>0</v>
      </c>
      <c r="S42" s="117">
        <v>0</v>
      </c>
      <c r="T42" s="1">
        <v>0</v>
      </c>
      <c r="U42" s="1">
        <v>0</v>
      </c>
    </row>
    <row r="43" spans="1:21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7"/>
      <c r="N43" s="117"/>
      <c r="O43" s="117"/>
      <c r="P43" s="117"/>
      <c r="Q43" s="117"/>
      <c r="R43" s="117">
        <v>0</v>
      </c>
      <c r="S43" s="117">
        <v>0</v>
      </c>
      <c r="T43" s="1">
        <v>-1</v>
      </c>
      <c r="U43" s="1">
        <v>-5</v>
      </c>
    </row>
    <row r="44" spans="1:21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7"/>
      <c r="N44" s="117"/>
      <c r="O44" s="117"/>
      <c r="P44" s="117"/>
      <c r="Q44" s="117"/>
      <c r="R44" s="117">
        <v>0</v>
      </c>
      <c r="S44" s="117">
        <v>0</v>
      </c>
      <c r="T44" s="1">
        <v>-136</v>
      </c>
      <c r="U44" s="1">
        <v>0</v>
      </c>
    </row>
    <row r="45" spans="1:21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7"/>
      <c r="N45" s="117"/>
      <c r="O45" s="117"/>
      <c r="P45" s="117"/>
      <c r="Q45" s="117"/>
      <c r="R45" s="117">
        <v>0</v>
      </c>
      <c r="S45" s="117">
        <v>0</v>
      </c>
      <c r="T45" s="1">
        <v>-1</v>
      </c>
      <c r="U45" s="1">
        <v>-56</v>
      </c>
    </row>
    <row r="46" spans="1:21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7"/>
      <c r="N46" s="117"/>
      <c r="O46" s="117"/>
      <c r="P46" s="117"/>
      <c r="Q46" s="117"/>
      <c r="R46" s="117">
        <v>0</v>
      </c>
      <c r="S46" s="117">
        <v>0</v>
      </c>
      <c r="T46" s="1">
        <v>-10</v>
      </c>
      <c r="U46" s="1">
        <v>0</v>
      </c>
    </row>
    <row r="47" spans="1:21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7"/>
      <c r="N47" s="117"/>
      <c r="O47" s="117"/>
      <c r="P47" s="117"/>
      <c r="Q47" s="117"/>
      <c r="R47" s="117">
        <v>0</v>
      </c>
      <c r="S47" s="117">
        <v>0</v>
      </c>
      <c r="T47" s="1">
        <v>-3</v>
      </c>
      <c r="U47" s="1">
        <v>0</v>
      </c>
    </row>
    <row r="48" spans="1:21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7"/>
      <c r="N48" s="117"/>
      <c r="O48" s="117"/>
      <c r="P48" s="117"/>
      <c r="Q48" s="117"/>
      <c r="R48" s="117">
        <v>0</v>
      </c>
      <c r="S48" s="117">
        <v>0</v>
      </c>
      <c r="T48" s="1">
        <v>-5</v>
      </c>
      <c r="U48" s="1">
        <v>-235</v>
      </c>
    </row>
    <row r="49" spans="1:21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7"/>
      <c r="N49" s="117"/>
      <c r="O49" s="117"/>
      <c r="P49" s="117"/>
      <c r="Q49" s="117"/>
      <c r="R49" s="117">
        <v>0</v>
      </c>
      <c r="S49" s="117">
        <v>0</v>
      </c>
      <c r="T49" s="1">
        <v>0</v>
      </c>
      <c r="U49" s="1">
        <v>0</v>
      </c>
    </row>
    <row r="50" spans="1:21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7"/>
      <c r="N50" s="117"/>
      <c r="O50" s="117"/>
      <c r="P50" s="117"/>
      <c r="Q50" s="117"/>
      <c r="R50" s="117">
        <v>-173</v>
      </c>
      <c r="S50" s="117">
        <v>0</v>
      </c>
      <c r="T50" s="1">
        <v>-1</v>
      </c>
      <c r="U50" s="1">
        <v>0</v>
      </c>
    </row>
    <row r="51" spans="1:21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7"/>
      <c r="N51" s="117"/>
      <c r="O51" s="117"/>
      <c r="P51" s="117"/>
      <c r="Q51" s="117"/>
      <c r="R51" s="117">
        <v>0</v>
      </c>
      <c r="S51" s="117">
        <v>0</v>
      </c>
      <c r="T51" s="1">
        <v>0</v>
      </c>
      <c r="U51" s="1">
        <v>0</v>
      </c>
    </row>
    <row r="52" spans="1:21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7"/>
      <c r="N52" s="117"/>
      <c r="O52" s="117"/>
      <c r="P52" s="117"/>
      <c r="Q52" s="117"/>
      <c r="R52" s="117">
        <v>0</v>
      </c>
      <c r="S52" s="117">
        <v>0</v>
      </c>
      <c r="T52" s="1">
        <v>0</v>
      </c>
      <c r="U52" s="1">
        <v>0</v>
      </c>
    </row>
    <row r="53" spans="1:21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5"/>
      <c r="N53" s="95"/>
      <c r="O53" s="95"/>
      <c r="P53" s="95"/>
      <c r="Q53" s="95"/>
      <c r="R53" s="117">
        <v>0</v>
      </c>
      <c r="S53" s="117">
        <v>0</v>
      </c>
      <c r="T53" s="1">
        <v>0</v>
      </c>
      <c r="U53" s="1">
        <v>0</v>
      </c>
    </row>
    <row r="54" spans="1:21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6"/>
      <c r="N54" s="96"/>
      <c r="O54" s="96"/>
      <c r="P54" s="96"/>
      <c r="Q54" s="96"/>
      <c r="R54" s="126">
        <f t="shared" ref="R54" si="4">SUM(R42:R53)</f>
        <v>-173</v>
      </c>
      <c r="S54" s="126">
        <f>SUM(S42:S53)</f>
        <v>0</v>
      </c>
      <c r="T54" s="126">
        <f t="shared" ref="T54" si="5">SUM(T42:T53)</f>
        <v>-157</v>
      </c>
      <c r="U54" s="126">
        <f>SUM(U42:U53)</f>
        <v>-296</v>
      </c>
    </row>
    <row r="55" spans="1:21" x14ac:dyDescent="0.2">
      <c r="F55" s="2"/>
    </row>
    <row r="59" spans="1:21" x14ac:dyDescent="0.2">
      <c r="F59" s="2"/>
    </row>
    <row r="60" spans="1:21" x14ac:dyDescent="0.2">
      <c r="F60" s="2"/>
    </row>
    <row r="61" spans="1:21" x14ac:dyDescent="0.2">
      <c r="F61" s="2"/>
    </row>
    <row r="62" spans="1:21" x14ac:dyDescent="0.2">
      <c r="F62" s="2"/>
    </row>
    <row r="63" spans="1:21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docMetadata/LabelInfo.xml><?xml version="1.0" encoding="utf-8"?>
<clbl:labelList xmlns:clbl="http://schemas.microsoft.com/office/2020/mipLabelMetadata">
  <clbl:label id="{a46511a6-6ec4-4ed3-a339-e5acd454f5ca}" enabled="1" method="Privileged" siteId="{eb14b046-24c4-4519-8f26-b89c215982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126</vt:i4>
      </vt:variant>
      <vt:variant>
        <vt:lpstr>Named Ranges</vt:lpstr>
      </vt:variant>
      <vt:variant>
        <vt:i4>1</vt:i4>
      </vt:variant>
    </vt:vector>
  </HeadingPairs>
  <TitlesOfParts>
    <vt:vector size="127" baseType="lpstr">
      <vt:lpstr>Minneapolis</vt:lpstr>
      <vt:lpstr>St. Paul</vt:lpstr>
      <vt:lpstr>Rochester</vt:lpstr>
      <vt:lpstr>Cook Cty</vt:lpstr>
      <vt:lpstr>Cook Co</vt:lpstr>
      <vt:lpstr>St. Cloud Liq&amp;Food</vt:lpstr>
      <vt:lpstr>Mankato</vt:lpstr>
      <vt:lpstr>Hermantown</vt:lpstr>
      <vt:lpstr>Willmar</vt:lpstr>
      <vt:lpstr>Two Harbors</vt:lpstr>
      <vt:lpstr>Proctor</vt:lpstr>
      <vt:lpstr>New Ulm</vt:lpstr>
      <vt:lpstr>St. Cloud Area</vt:lpstr>
      <vt:lpstr>Bemidji</vt:lpstr>
      <vt:lpstr>Duluth</vt:lpstr>
      <vt:lpstr>Albert Lea</vt:lpstr>
      <vt:lpstr>Baxter</vt:lpstr>
      <vt:lpstr>Hennepin</vt:lpstr>
      <vt:lpstr>Hennepin Co</vt:lpstr>
      <vt:lpstr>Austin</vt:lpstr>
      <vt:lpstr>Brainerd</vt:lpstr>
      <vt:lpstr>Owatonna</vt:lpstr>
      <vt:lpstr>Metro Transit</vt:lpstr>
      <vt:lpstr>North Mankato</vt:lpstr>
      <vt:lpstr>Clearwater</vt:lpstr>
      <vt:lpstr>Worthington</vt:lpstr>
      <vt:lpstr>Detroit Lakes</vt:lpstr>
      <vt:lpstr>GiantsRidge</vt:lpstr>
      <vt:lpstr>FergusFalls</vt:lpstr>
      <vt:lpstr>Hutchinson</vt:lpstr>
      <vt:lpstr>Lanesboro</vt:lpstr>
      <vt:lpstr>Cloquet</vt:lpstr>
      <vt:lpstr>Marshall</vt:lpstr>
      <vt:lpstr>Medford</vt:lpstr>
      <vt:lpstr>Olmsted Co</vt:lpstr>
      <vt:lpstr>Rice Co</vt:lpstr>
      <vt:lpstr>Wadena Co</vt:lpstr>
      <vt:lpstr>Beltrami Co</vt:lpstr>
      <vt:lpstr>Becker Co</vt:lpstr>
      <vt:lpstr>Douglas Co</vt:lpstr>
      <vt:lpstr>Todd Co</vt:lpstr>
      <vt:lpstr>Fillmore Co</vt:lpstr>
      <vt:lpstr>Carlton Cty</vt:lpstr>
      <vt:lpstr>Carlton Co</vt:lpstr>
      <vt:lpstr>St. Louis Co</vt:lpstr>
      <vt:lpstr>Steele Co</vt:lpstr>
      <vt:lpstr>Hubbard Co</vt:lpstr>
      <vt:lpstr>Lyon Co</vt:lpstr>
      <vt:lpstr>Scott Co</vt:lpstr>
      <vt:lpstr>Freeborn Co</vt:lpstr>
      <vt:lpstr>Otter Tail Co</vt:lpstr>
      <vt:lpstr>Cass Co</vt:lpstr>
      <vt:lpstr>Brown Co</vt:lpstr>
      <vt:lpstr>Crow Wing Co</vt:lpstr>
      <vt:lpstr>Wabasha Co</vt:lpstr>
      <vt:lpstr>Chisago Co</vt:lpstr>
      <vt:lpstr>Blue Earth Co</vt:lpstr>
      <vt:lpstr>Winona Co</vt:lpstr>
      <vt:lpstr>Pine Co</vt:lpstr>
      <vt:lpstr>Mille Lacs Co</vt:lpstr>
      <vt:lpstr>Lake Co</vt:lpstr>
      <vt:lpstr>Dakota Co</vt:lpstr>
      <vt:lpstr>Ramsey Co</vt:lpstr>
      <vt:lpstr>Washington Co</vt:lpstr>
      <vt:lpstr>Anoka Co</vt:lpstr>
      <vt:lpstr>Carver Co</vt:lpstr>
      <vt:lpstr>Fairmont</vt:lpstr>
      <vt:lpstr>Clay Cty</vt:lpstr>
      <vt:lpstr>New London</vt:lpstr>
      <vt:lpstr>Wright Co</vt:lpstr>
      <vt:lpstr>Spicer</vt:lpstr>
      <vt:lpstr>Moose Lake</vt:lpstr>
      <vt:lpstr>Walker</vt:lpstr>
      <vt:lpstr>East Grand Forks</vt:lpstr>
      <vt:lpstr>Polk Co</vt:lpstr>
      <vt:lpstr>Mower Co</vt:lpstr>
      <vt:lpstr>Nicollet Co</vt:lpstr>
      <vt:lpstr>Stearns Co</vt:lpstr>
      <vt:lpstr>Morrison Co</vt:lpstr>
      <vt:lpstr>GKWMLL Sanitary</vt:lpstr>
      <vt:lpstr>Kandiyohi Co</vt:lpstr>
      <vt:lpstr>Dodge Co</vt:lpstr>
      <vt:lpstr>Goodhue Co</vt:lpstr>
      <vt:lpstr>Sherburne Co</vt:lpstr>
      <vt:lpstr>Waseca Co</vt:lpstr>
      <vt:lpstr>Redwood Co</vt:lpstr>
      <vt:lpstr>Isanti Co</vt:lpstr>
      <vt:lpstr>Benton Co</vt:lpstr>
      <vt:lpstr>Avon</vt:lpstr>
      <vt:lpstr>Blue Earth</vt:lpstr>
      <vt:lpstr>Cambridge</vt:lpstr>
      <vt:lpstr>Elk River</vt:lpstr>
      <vt:lpstr>Excelsior</vt:lpstr>
      <vt:lpstr>Int. Falls</vt:lpstr>
      <vt:lpstr>Rogers</vt:lpstr>
      <vt:lpstr>Glenwood</vt:lpstr>
      <vt:lpstr>Perham</vt:lpstr>
      <vt:lpstr>Virginia</vt:lpstr>
      <vt:lpstr>West St. Paul</vt:lpstr>
      <vt:lpstr>McLeod Co</vt:lpstr>
      <vt:lpstr>Sauk Centre</vt:lpstr>
      <vt:lpstr>Scanlon</vt:lpstr>
      <vt:lpstr>Kanabec Co</vt:lpstr>
      <vt:lpstr>Nobles Co</vt:lpstr>
      <vt:lpstr>LotW Lodg</vt:lpstr>
      <vt:lpstr>Le Sueur Co</vt:lpstr>
      <vt:lpstr>Roseau Co</vt:lpstr>
      <vt:lpstr>Koochiching Co</vt:lpstr>
      <vt:lpstr>St Peter</vt:lpstr>
      <vt:lpstr>Norman Co</vt:lpstr>
      <vt:lpstr>Renville Co</vt:lpstr>
      <vt:lpstr>Waite Park</vt:lpstr>
      <vt:lpstr>Edina</vt:lpstr>
      <vt:lpstr>Moorhead</vt:lpstr>
      <vt:lpstr>Itasca Cty</vt:lpstr>
      <vt:lpstr>Grand Rapids</vt:lpstr>
      <vt:lpstr>Woodbury Lodg</vt:lpstr>
      <vt:lpstr>Maple Grove</vt:lpstr>
      <vt:lpstr>Warren</vt:lpstr>
      <vt:lpstr>Oakdale</vt:lpstr>
      <vt:lpstr>Staples</vt:lpstr>
      <vt:lpstr>Litchfield</vt:lpstr>
      <vt:lpstr>Metro Transpo</vt:lpstr>
      <vt:lpstr>Metro Housing</vt:lpstr>
      <vt:lpstr>TotalCY23 Cities</vt:lpstr>
      <vt:lpstr>TotalCY23 Transit</vt:lpstr>
      <vt:lpstr>Bemidji!Print_Area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Sanford</dc:creator>
  <cp:lastModifiedBy>Hevern, Alex (MDOR)</cp:lastModifiedBy>
  <cp:lastPrinted>2017-10-03T14:23:11Z</cp:lastPrinted>
  <dcterms:created xsi:type="dcterms:W3CDTF">2006-06-12T20:45:08Z</dcterms:created>
  <dcterms:modified xsi:type="dcterms:W3CDTF">2024-05-24T16:16:34Z</dcterms:modified>
</cp:coreProperties>
</file>