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Property\Private\SALESRAT\Interest Rate Bulletin\"/>
    </mc:Choice>
  </mc:AlternateContent>
  <bookViews>
    <workbookView xWindow="0" yWindow="0" windowWidth="28800" windowHeight="12432"/>
  </bookViews>
  <sheets>
    <sheet name="DOR Methodology" sheetId="4" r:id="rId1"/>
    <sheet name="MarketRates" sheetId="9" r:id="rId2"/>
    <sheet name="PVCalc" sheetId="11" r:id="rId3"/>
    <sheet name="DropdownLists" sheetId="12" r:id="rId4"/>
  </sheets>
  <definedNames>
    <definedName name="Dates">DropdownLists!$H$2:$H$73</definedName>
    <definedName name="MarketRate">MarketRates!$B$6</definedName>
    <definedName name="PaymentFor">DropdownLists!$D$2:$D$4</definedName>
    <definedName name="PaymentTypes">DropdownLists!$A$2:$A$6</definedName>
    <definedName name="PropertyTypes">DropdownLists!$F$2:$F$4</definedName>
  </definedNames>
  <calcPr calcId="162913"/>
</workbook>
</file>

<file path=xl/calcChain.xml><?xml version="1.0" encoding="utf-8"?>
<calcChain xmlns="http://schemas.openxmlformats.org/spreadsheetml/2006/main">
  <c r="I6" i="4" l="1"/>
  <c r="F15" i="4" l="1"/>
  <c r="B11" i="11"/>
  <c r="D34" i="4" s="1"/>
  <c r="B15" i="11"/>
  <c r="D39" i="4" s="1"/>
  <c r="F29" i="4"/>
  <c r="F30" i="4"/>
  <c r="F38" i="4"/>
  <c r="F37" i="4"/>
  <c r="F24" i="4"/>
  <c r="F23" i="4"/>
  <c r="F11" i="4"/>
  <c r="F16" i="4"/>
  <c r="B10" i="11"/>
  <c r="B2" i="11"/>
  <c r="B14" i="11"/>
  <c r="B6" i="11"/>
  <c r="B2" i="9"/>
  <c r="B1" i="9"/>
  <c r="B5" i="9" s="1"/>
  <c r="B3" i="9"/>
  <c r="B7" i="11"/>
  <c r="D25" i="4" s="1"/>
  <c r="B4" i="9"/>
  <c r="B3" i="11"/>
  <c r="D20" i="4" s="1"/>
  <c r="B6" i="9" l="1"/>
  <c r="G6" i="4" s="1"/>
  <c r="G7" i="4" s="1"/>
  <c r="D41" i="4"/>
  <c r="D42" i="4" s="1"/>
  <c r="D45" i="4" l="1"/>
  <c r="F45" i="4" s="1"/>
  <c r="D43" i="4"/>
</calcChain>
</file>

<file path=xl/sharedStrings.xml><?xml version="1.0" encoding="utf-8"?>
<sst xmlns="http://schemas.openxmlformats.org/spreadsheetml/2006/main" count="79" uniqueCount="55">
  <si>
    <t>Payment Amount</t>
  </si>
  <si>
    <t>Market Rate</t>
  </si>
  <si>
    <t>Contract Amount</t>
  </si>
  <si>
    <t>Total Purchase Amount</t>
  </si>
  <si>
    <t>Down Payment Amount</t>
  </si>
  <si>
    <t>eCRV #</t>
  </si>
  <si>
    <t>Total Number of Payments</t>
  </si>
  <si>
    <t>Arrangement 1</t>
  </si>
  <si>
    <t>Arrangement 2</t>
  </si>
  <si>
    <t>Balloon Payment 1</t>
  </si>
  <si>
    <t>Balloon Amount</t>
  </si>
  <si>
    <t>Balloon Date</t>
  </si>
  <si>
    <t>Balloon Payment 2</t>
  </si>
  <si>
    <t>Finance Adjustment</t>
  </si>
  <si>
    <t>Arrangement 1 Present Value</t>
  </si>
  <si>
    <t>Total Present Value</t>
  </si>
  <si>
    <t>Property Type</t>
  </si>
  <si>
    <t>Res/SRR</t>
  </si>
  <si>
    <t>Comm/Ind/Apt</t>
  </si>
  <si>
    <t>Ag/RVL</t>
  </si>
  <si>
    <t># of Financing Arrangements</t>
  </si>
  <si>
    <t>Arrangment 1</t>
  </si>
  <si>
    <t>CommIndApt</t>
  </si>
  <si>
    <t>AgRVL</t>
  </si>
  <si>
    <t>Sale Date</t>
  </si>
  <si>
    <t>Month-Year of Sale</t>
  </si>
  <si>
    <t>Calculated</t>
  </si>
  <si>
    <t>User Input</t>
  </si>
  <si>
    <t>Payment Type</t>
  </si>
  <si>
    <t xml:space="preserve">Annual </t>
  </si>
  <si>
    <t>Monthly</t>
  </si>
  <si>
    <t>Semi-Annual</t>
  </si>
  <si>
    <t>Quarterly</t>
  </si>
  <si>
    <t>Other</t>
  </si>
  <si>
    <t>Payment For</t>
  </si>
  <si>
    <t>PaymentType</t>
  </si>
  <si>
    <t>PaymentFor</t>
  </si>
  <si>
    <t>Principal and Interest</t>
  </si>
  <si>
    <t>Principal Only</t>
  </si>
  <si>
    <t>Interest Only</t>
  </si>
  <si>
    <t>PropertyTypes</t>
  </si>
  <si>
    <t>Dates</t>
  </si>
  <si>
    <t>Present Value</t>
  </si>
  <si>
    <t>Annual Payments</t>
  </si>
  <si>
    <t>ERROR</t>
  </si>
  <si>
    <t>Arrangement 2 Present Value</t>
  </si>
  <si>
    <t>Arrangment 2</t>
  </si>
  <si>
    <t>Balloon 1</t>
  </si>
  <si>
    <t># Years</t>
  </si>
  <si>
    <t>Balloon 2 Present Value</t>
  </si>
  <si>
    <t>Balloon 2</t>
  </si>
  <si>
    <t>Balloon 1 Present Value</t>
  </si>
  <si>
    <t>Interest Rate</t>
  </si>
  <si>
    <t>Finance Adjusted Sale Price</t>
  </si>
  <si>
    <t>Finance Adjustment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</si>
</sst>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[$-409]mmm\-yy;@"/>
    <numFmt numFmtId="166" formatCode="&quot;$&quot;#,##0.00"/>
    <numFmt numFmtId="167" formatCode="0.0"/>
    <numFmt numFmtId="168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8" fontId="0" fillId="0" borderId="0" xfId="0" applyNumberFormat="1"/>
    <xf numFmtId="17" fontId="0" fillId="0" borderId="0" xfId="0" applyNumberFormat="1"/>
    <xf numFmtId="167" fontId="0" fillId="0" borderId="0" xfId="0" applyNumberFormat="1"/>
    <xf numFmtId="1" fontId="0" fillId="0" borderId="0" xfId="0" applyNumberFormat="1"/>
    <xf numFmtId="0" fontId="2" fillId="0" borderId="0" xfId="2"/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2" fillId="0" borderId="0" xfId="2" applyProtection="1">
      <protection locked="0"/>
    </xf>
    <xf numFmtId="164" fontId="1" fillId="2" borderId="1" xfId="1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0" fontId="1" fillId="2" borderId="1" xfId="3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8" fontId="0" fillId="0" borderId="0" xfId="0" applyNumberFormat="1" applyProtection="1">
      <protection locked="0"/>
    </xf>
    <xf numFmtId="10" fontId="1" fillId="0" borderId="0" xfId="3" applyNumberFormat="1" applyFo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Protection="1"/>
    <xf numFmtId="165" fontId="0" fillId="0" borderId="0" xfId="0" applyNumberFormat="1" applyProtection="1"/>
    <xf numFmtId="164" fontId="0" fillId="0" borderId="0" xfId="0" applyNumberFormat="1" applyProtection="1"/>
    <xf numFmtId="10" fontId="1" fillId="0" borderId="0" xfId="3" applyNumberFormat="1" applyFont="1" applyProtection="1"/>
    <xf numFmtId="10" fontId="1" fillId="0" borderId="3" xfId="3" applyNumberFormat="1" applyFont="1" applyBorder="1" applyProtection="1"/>
    <xf numFmtId="0" fontId="0" fillId="2" borderId="1" xfId="0" applyFill="1" applyBorder="1" applyProtection="1"/>
    <xf numFmtId="0" fontId="0" fillId="3" borderId="1" xfId="0" applyFill="1" applyBorder="1" applyProtection="1"/>
    <xf numFmtId="0" fontId="3" fillId="0" borderId="0" xfId="0" applyFont="1" applyProtection="1"/>
    <xf numFmtId="0" fontId="5" fillId="0" borderId="0" xfId="0" applyFont="1" applyProtection="1"/>
    <xf numFmtId="164" fontId="1" fillId="3" borderId="1" xfId="1" applyNumberFormat="1" applyFont="1" applyFill="1" applyBorder="1" applyProtection="1"/>
    <xf numFmtId="6" fontId="0" fillId="3" borderId="1" xfId="0" applyNumberFormat="1" applyFill="1" applyBorder="1" applyProtection="1"/>
    <xf numFmtId="166" fontId="0" fillId="3" borderId="1" xfId="0" applyNumberFormat="1" applyFill="1" applyBorder="1" applyProtection="1"/>
    <xf numFmtId="10" fontId="5" fillId="0" borderId="0" xfId="3" applyNumberFormat="1" applyFont="1" applyProtection="1"/>
    <xf numFmtId="10" fontId="0" fillId="0" borderId="0" xfId="0" applyNumberFormat="1" applyProtection="1">
      <protection locked="0"/>
    </xf>
    <xf numFmtId="168" fontId="1" fillId="0" borderId="0" xfId="3" applyNumberFormat="1" applyFont="1" applyProtection="1">
      <protection locked="0"/>
    </xf>
    <xf numFmtId="168" fontId="0" fillId="0" borderId="0" xfId="0" applyNumberFormat="1" applyProtection="1">
      <protection locked="0"/>
    </xf>
    <xf numFmtId="168" fontId="1" fillId="3" borderId="1" xfId="3" applyNumberFormat="1" applyFont="1" applyFill="1" applyBorder="1" applyProtection="1">
      <protection locked="0"/>
    </xf>
    <xf numFmtId="10" fontId="0" fillId="0" borderId="0" xfId="0" applyNumberFormat="1" applyFill="1" applyProtection="1">
      <protection locked="0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1895475</xdr:colOff>
      <xdr:row>1</xdr:row>
      <xdr:rowOff>0</xdr:rowOff>
    </xdr:to>
    <xdr:pic>
      <xdr:nvPicPr>
        <xdr:cNvPr id="105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3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13</xdr:col>
      <xdr:colOff>1</xdr:colOff>
      <xdr:row>0</xdr:row>
      <xdr:rowOff>676275</xdr:rowOff>
    </xdr:to>
    <xdr:sp macro="" textlink="">
      <xdr:nvSpPr>
        <xdr:cNvPr id="3" name="TextBox 2"/>
        <xdr:cNvSpPr txBox="1"/>
      </xdr:nvSpPr>
      <xdr:spPr>
        <a:xfrm>
          <a:off x="2847975" y="0"/>
          <a:ext cx="6791326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tool</a:t>
          </a:r>
          <a:r>
            <a:rPr lang="en-US" sz="1100" baseline="0"/>
            <a:t> was created by the Property Tax Data &amp; Analysis Unit to allow counties to replicate the financing adjustments the Department makes on contract for deed and warranty deed sales for the 2017 Sales Ratio Study.</a:t>
          </a:r>
        </a:p>
        <a:p>
          <a:r>
            <a:rPr lang="en-US" sz="1100" baseline="0"/>
            <a:t>Updated April 2019.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45"/>
  <sheetViews>
    <sheetView tabSelected="1" zoomScaleNormal="100" workbookViewId="0">
      <selection activeCell="D5" sqref="D5"/>
    </sheetView>
  </sheetViews>
  <sheetFormatPr defaultColWidth="9.109375" defaultRowHeight="14.4" x14ac:dyDescent="0.3"/>
  <cols>
    <col min="1" max="1" width="10.33203125" style="20" bestFit="1" customWidth="1"/>
    <col min="2" max="2" width="2.44140625" style="20" customWidth="1"/>
    <col min="3" max="3" width="30" style="20" bestFit="1" customWidth="1"/>
    <col min="4" max="4" width="20.109375" style="8" bestFit="1" customWidth="1"/>
    <col min="5" max="5" width="4.44140625" style="8" customWidth="1"/>
    <col min="6" max="6" width="12.6640625" style="8" customWidth="1"/>
    <col min="7" max="7" width="10.33203125" style="8" bestFit="1" customWidth="1"/>
    <col min="8" max="12" width="9.109375" style="8"/>
    <col min="13" max="13" width="8.5546875" style="8" customWidth="1"/>
    <col min="14" max="16384" width="9.109375" style="8"/>
  </cols>
  <sheetData>
    <row r="1" spans="1:9" ht="54" customHeight="1" x14ac:dyDescent="0.3"/>
    <row r="2" spans="1:9" x14ac:dyDescent="0.3">
      <c r="A2" s="25" t="s">
        <v>27</v>
      </c>
    </row>
    <row r="3" spans="1:9" x14ac:dyDescent="0.3">
      <c r="A3" s="26" t="s">
        <v>26</v>
      </c>
    </row>
    <row r="4" spans="1:9" x14ac:dyDescent="0.3">
      <c r="C4" s="20" t="s">
        <v>5</v>
      </c>
      <c r="D4" s="9">
        <v>999999</v>
      </c>
    </row>
    <row r="5" spans="1:9" x14ac:dyDescent="0.3">
      <c r="C5" s="20" t="s">
        <v>25</v>
      </c>
      <c r="D5" s="10">
        <v>43709</v>
      </c>
    </row>
    <row r="6" spans="1:9" x14ac:dyDescent="0.3">
      <c r="C6" s="20" t="s">
        <v>16</v>
      </c>
      <c r="D6" s="9" t="s">
        <v>17</v>
      </c>
      <c r="F6" s="8" t="s">
        <v>1</v>
      </c>
      <c r="G6" s="36">
        <f>MarketRates!B6</f>
        <v>3.6600000000000001E-2</v>
      </c>
      <c r="I6" s="11" t="str">
        <f>HYPERLINK("https://www.revenue.state.mn.us/interest-rate-bulletin","Interest Rate Bulletin")</f>
        <v>Interest Rate Bulletin</v>
      </c>
    </row>
    <row r="7" spans="1:9" x14ac:dyDescent="0.3">
      <c r="F7" s="7"/>
      <c r="G7" s="6" t="str">
        <f>IF(G6=0,"Market rate unavailable. Check Interest Rate Bulletin or make an estimate.","")</f>
        <v/>
      </c>
    </row>
    <row r="8" spans="1:9" x14ac:dyDescent="0.3">
      <c r="C8" s="20" t="s">
        <v>3</v>
      </c>
      <c r="D8" s="12"/>
      <c r="F8" s="7"/>
      <c r="G8" s="7"/>
    </row>
    <row r="9" spans="1:9" x14ac:dyDescent="0.3">
      <c r="C9" s="20" t="s">
        <v>4</v>
      </c>
      <c r="D9" s="13"/>
      <c r="F9" s="7"/>
      <c r="G9" s="7"/>
    </row>
    <row r="10" spans="1:9" x14ac:dyDescent="0.3">
      <c r="F10" s="7"/>
      <c r="G10" s="7"/>
    </row>
    <row r="11" spans="1:9" x14ac:dyDescent="0.3">
      <c r="C11" s="20" t="s">
        <v>20</v>
      </c>
      <c r="D11" s="9"/>
      <c r="F11" s="6" t="str">
        <f>IF(D11&gt;2,"Sales with more than 2 arrangements do not get automatic financing adjustments.","")</f>
        <v/>
      </c>
      <c r="G11" s="7"/>
    </row>
    <row r="12" spans="1:9" x14ac:dyDescent="0.3">
      <c r="F12" s="7"/>
      <c r="G12" s="7"/>
    </row>
    <row r="13" spans="1:9" x14ac:dyDescent="0.3">
      <c r="C13" s="27" t="s">
        <v>21</v>
      </c>
      <c r="F13" s="7"/>
      <c r="G13" s="7"/>
    </row>
    <row r="14" spans="1:9" x14ac:dyDescent="0.3">
      <c r="C14" s="20" t="s">
        <v>2</v>
      </c>
      <c r="D14" s="13"/>
      <c r="F14" s="7"/>
      <c r="G14" s="7"/>
    </row>
    <row r="15" spans="1:9" x14ac:dyDescent="0.3">
      <c r="C15" s="20" t="s">
        <v>52</v>
      </c>
      <c r="D15" s="14"/>
      <c r="F15" s="6" t="str">
        <f>IF(D15="","",IF(ABS(G6-D15)&lt;=0.005,"Near market interest rate. No financing adjustment is made.",""))</f>
        <v/>
      </c>
      <c r="G15" s="7"/>
    </row>
    <row r="16" spans="1:9" x14ac:dyDescent="0.3">
      <c r="C16" s="20" t="s">
        <v>28</v>
      </c>
      <c r="D16" s="13" t="s">
        <v>30</v>
      </c>
      <c r="F16" s="6" t="str">
        <f>IF(D16="Other","Arrangements with 'Other' payment types do not get automatic financing adjustments.","")</f>
        <v/>
      </c>
      <c r="G16" s="7"/>
    </row>
    <row r="17" spans="3:7" x14ac:dyDescent="0.3">
      <c r="C17" s="20" t="s">
        <v>0</v>
      </c>
      <c r="D17" s="12"/>
      <c r="F17" s="7"/>
      <c r="G17" s="7"/>
    </row>
    <row r="18" spans="3:7" x14ac:dyDescent="0.3">
      <c r="C18" s="20" t="s">
        <v>34</v>
      </c>
      <c r="D18" s="12" t="s">
        <v>37</v>
      </c>
      <c r="F18" s="7"/>
      <c r="G18" s="7"/>
    </row>
    <row r="19" spans="3:7" x14ac:dyDescent="0.3">
      <c r="C19" s="20" t="s">
        <v>6</v>
      </c>
      <c r="D19" s="15"/>
      <c r="F19" s="7"/>
      <c r="G19" s="7"/>
    </row>
    <row r="20" spans="3:7" x14ac:dyDescent="0.3">
      <c r="C20" s="20" t="s">
        <v>14</v>
      </c>
      <c r="D20" s="29">
        <f>PVCalc!B3</f>
        <v>0</v>
      </c>
      <c r="F20" s="7"/>
      <c r="G20" s="7"/>
    </row>
    <row r="21" spans="3:7" x14ac:dyDescent="0.3">
      <c r="F21" s="7"/>
      <c r="G21" s="7"/>
    </row>
    <row r="22" spans="3:7" x14ac:dyDescent="0.3">
      <c r="C22" s="27" t="s">
        <v>9</v>
      </c>
      <c r="F22" s="7"/>
      <c r="G22" s="7"/>
    </row>
    <row r="23" spans="3:7" x14ac:dyDescent="0.3">
      <c r="C23" s="20" t="s">
        <v>10</v>
      </c>
      <c r="D23" s="13"/>
      <c r="F23" s="6" t="str">
        <f>IF(D18="Interest Only",IF(D23=0,"Contracts with interest only payments require a balloon payment."," "),"")</f>
        <v/>
      </c>
      <c r="G23" s="7"/>
    </row>
    <row r="24" spans="3:7" x14ac:dyDescent="0.3">
      <c r="C24" s="20" t="s">
        <v>11</v>
      </c>
      <c r="D24" s="16"/>
      <c r="F24" s="6" t="str">
        <f>IF(D18="Principal Only",IF(D23=0,"Contracts with principal only payments require a balloon payment."," "),"")</f>
        <v/>
      </c>
      <c r="G24" s="7"/>
    </row>
    <row r="25" spans="3:7" x14ac:dyDescent="0.3">
      <c r="C25" s="20" t="s">
        <v>51</v>
      </c>
      <c r="D25" s="29">
        <f>PVCalc!B7</f>
        <v>0</v>
      </c>
      <c r="F25" s="7"/>
      <c r="G25" s="7"/>
    </row>
    <row r="26" spans="3:7" x14ac:dyDescent="0.3">
      <c r="F26" s="7"/>
      <c r="G26" s="7"/>
    </row>
    <row r="27" spans="3:7" x14ac:dyDescent="0.3">
      <c r="C27" s="27" t="s">
        <v>8</v>
      </c>
      <c r="F27" s="7"/>
      <c r="G27" s="7"/>
    </row>
    <row r="28" spans="3:7" x14ac:dyDescent="0.3">
      <c r="C28" s="20" t="s">
        <v>2</v>
      </c>
      <c r="D28" s="13"/>
      <c r="F28" s="7"/>
      <c r="G28" s="7"/>
    </row>
    <row r="29" spans="3:7" x14ac:dyDescent="0.3">
      <c r="C29" s="20" t="s">
        <v>52</v>
      </c>
      <c r="D29" s="14"/>
      <c r="F29" s="6" t="str">
        <f>IF(D29="","",IF(ABS(G20-D29)&lt;0.005,"Near market interest rate. No financing adjustment is made.",""))</f>
        <v/>
      </c>
      <c r="G29" s="7"/>
    </row>
    <row r="30" spans="3:7" x14ac:dyDescent="0.3">
      <c r="C30" s="20" t="s">
        <v>28</v>
      </c>
      <c r="D30" s="13" t="s">
        <v>31</v>
      </c>
      <c r="F30" s="6" t="str">
        <f>IF(D30="Other","Arrangements with 'Other' payment types do not get automatic financing adjustments.","")</f>
        <v/>
      </c>
      <c r="G30" s="7"/>
    </row>
    <row r="31" spans="3:7" x14ac:dyDescent="0.3">
      <c r="C31" s="20" t="s">
        <v>0</v>
      </c>
      <c r="D31" s="12"/>
      <c r="F31" s="7"/>
      <c r="G31" s="7"/>
    </row>
    <row r="32" spans="3:7" x14ac:dyDescent="0.3">
      <c r="C32" s="20" t="s">
        <v>34</v>
      </c>
      <c r="D32" s="12" t="s">
        <v>37</v>
      </c>
      <c r="F32" s="7"/>
      <c r="G32" s="7"/>
    </row>
    <row r="33" spans="3:7" x14ac:dyDescent="0.3">
      <c r="C33" s="20" t="s">
        <v>6</v>
      </c>
      <c r="D33" s="15"/>
      <c r="F33" s="7"/>
      <c r="G33" s="7"/>
    </row>
    <row r="34" spans="3:7" x14ac:dyDescent="0.3">
      <c r="C34" s="20" t="s">
        <v>45</v>
      </c>
      <c r="D34" s="30">
        <f>PVCalc!B11</f>
        <v>0</v>
      </c>
      <c r="F34" s="7"/>
      <c r="G34" s="7"/>
    </row>
    <row r="35" spans="3:7" x14ac:dyDescent="0.3">
      <c r="F35" s="7"/>
      <c r="G35" s="7"/>
    </row>
    <row r="36" spans="3:7" x14ac:dyDescent="0.3">
      <c r="C36" s="27" t="s">
        <v>12</v>
      </c>
      <c r="F36" s="7"/>
      <c r="G36" s="7"/>
    </row>
    <row r="37" spans="3:7" x14ac:dyDescent="0.3">
      <c r="C37" s="20" t="s">
        <v>10</v>
      </c>
      <c r="D37" s="13"/>
      <c r="F37" s="6" t="str">
        <f>IF(D32="Interest Only",IF(D37=0,"Contracts with interest only payments require a balloon payment."," "),"")</f>
        <v/>
      </c>
      <c r="G37" s="7"/>
    </row>
    <row r="38" spans="3:7" x14ac:dyDescent="0.3">
      <c r="C38" s="20" t="s">
        <v>11</v>
      </c>
      <c r="D38" s="16"/>
      <c r="F38" s="6" t="str">
        <f>IF(D32="Principal Only",IF(D37=0,"Contracts with principal only payments require a balloon payment."," "),"")</f>
        <v/>
      </c>
      <c r="G38" s="7"/>
    </row>
    <row r="39" spans="3:7" x14ac:dyDescent="0.3">
      <c r="C39" s="20" t="s">
        <v>49</v>
      </c>
      <c r="D39" s="29">
        <f>PVCalc!B15</f>
        <v>0</v>
      </c>
      <c r="F39" s="7"/>
      <c r="G39" s="7"/>
    </row>
    <row r="40" spans="3:7" x14ac:dyDescent="0.3">
      <c r="D40" s="17"/>
      <c r="F40" s="7"/>
      <c r="G40" s="7"/>
    </row>
    <row r="41" spans="3:7" x14ac:dyDescent="0.3">
      <c r="C41" s="27" t="s">
        <v>15</v>
      </c>
      <c r="D41" s="31">
        <f>D20+D25+D34+D39</f>
        <v>0</v>
      </c>
      <c r="F41" s="7"/>
      <c r="G41" s="7"/>
    </row>
    <row r="42" spans="3:7" x14ac:dyDescent="0.3">
      <c r="C42" s="27" t="s">
        <v>13</v>
      </c>
      <c r="D42" s="31">
        <f>D41-(D14+D28)</f>
        <v>0</v>
      </c>
      <c r="F42" s="7"/>
      <c r="G42" s="7"/>
    </row>
    <row r="43" spans="3:7" x14ac:dyDescent="0.3">
      <c r="C43" s="27" t="s">
        <v>53</v>
      </c>
      <c r="D43" s="31">
        <f>D8+D42</f>
        <v>0</v>
      </c>
      <c r="F43" s="7"/>
      <c r="G43" s="7"/>
    </row>
    <row r="44" spans="3:7" x14ac:dyDescent="0.3">
      <c r="F44" s="7"/>
      <c r="G44" s="7"/>
    </row>
    <row r="45" spans="3:7" x14ac:dyDescent="0.3">
      <c r="C45" s="28" t="s">
        <v>54</v>
      </c>
      <c r="D45" s="32" t="str">
        <f>IF(ISERROR(D42/D8),"",D42/D8)</f>
        <v/>
      </c>
      <c r="F45" s="6" t="str">
        <f>IF(D45="","",IF(ABS(D45)&lt;0.01,"Adjustment is less than 1%. No adjustment is made.",""))</f>
        <v/>
      </c>
      <c r="G45" s="7"/>
    </row>
  </sheetData>
  <sheetProtection sheet="1" objects="1" scenarios="1"/>
  <dataValidations count="6">
    <dataValidation type="list" allowBlank="1" showInputMessage="1" showErrorMessage="1" sqref="D6">
      <formula1>PropertyTypes</formula1>
    </dataValidation>
    <dataValidation type="whole" errorStyle="warning" operator="greaterThanOrEqual" allowBlank="1" showInputMessage="1" showErrorMessage="1" errorTitle="Reject Sale" error="Bare land sales under $3,000 must be rejected. Improved sales under $10,000 must be rejected." sqref="D8">
      <formula1>10000</formula1>
    </dataValidation>
    <dataValidation type="whole" errorStyle="warning" operator="greaterThan" allowBlank="1" showInputMessage="1" showErrorMessage="1" errorTitle="Potential Reject" error="The minimum down payment for the study is 5% of the total purchase amount unless the sales verification process proves that the change of default is lower or that the term is less than one year." sqref="D9">
      <formula1>0.05*D8</formula1>
    </dataValidation>
    <dataValidation type="list" allowBlank="1" showInputMessage="1" showErrorMessage="1" sqref="D5">
      <formula1>Dates</formula1>
    </dataValidation>
    <dataValidation type="list" allowBlank="1" showInputMessage="1" showErrorMessage="1" sqref="D16 D30">
      <formula1>PaymentTypes</formula1>
    </dataValidation>
    <dataValidation type="list" allowBlank="1" showInputMessage="1" showErrorMessage="1" sqref="D18 D32">
      <formula1>PaymentFor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80"/>
  <sheetViews>
    <sheetView topLeftCell="A8" workbookViewId="0">
      <pane ySplit="1" topLeftCell="A42" activePane="bottomLeft" state="frozen"/>
      <selection activeCell="A8" sqref="A8"/>
      <selection pane="bottomLeft" activeCell="B66" sqref="B66"/>
    </sheetView>
  </sheetViews>
  <sheetFormatPr defaultColWidth="9.109375" defaultRowHeight="14.4" x14ac:dyDescent="0.3"/>
  <cols>
    <col min="1" max="1" width="21.88671875" style="8" bestFit="1" customWidth="1"/>
    <col min="2" max="2" width="11.109375" style="8" bestFit="1" customWidth="1"/>
    <col min="3" max="3" width="11.6640625" style="8" bestFit="1" customWidth="1"/>
    <col min="4" max="16384" width="9.109375" style="8"/>
  </cols>
  <sheetData>
    <row r="1" spans="1:4" x14ac:dyDescent="0.3">
      <c r="A1" s="20" t="s">
        <v>24</v>
      </c>
      <c r="B1" s="21">
        <f>'DOR Methodology'!D5</f>
        <v>43709</v>
      </c>
    </row>
    <row r="2" spans="1:4" x14ac:dyDescent="0.3">
      <c r="A2" s="20" t="s">
        <v>3</v>
      </c>
      <c r="B2" s="22">
        <f>'DOR Methodology'!D8</f>
        <v>0</v>
      </c>
    </row>
    <row r="3" spans="1:4" x14ac:dyDescent="0.3">
      <c r="A3" s="20" t="s">
        <v>17</v>
      </c>
      <c r="B3" s="23">
        <f>VLOOKUP(B1,A9:D80,2,FALSE)</f>
        <v>3.6600000000000001E-2</v>
      </c>
    </row>
    <row r="4" spans="1:4" x14ac:dyDescent="0.3">
      <c r="A4" s="20" t="s">
        <v>18</v>
      </c>
      <c r="B4" s="23">
        <f>VLOOKUP(B1,A9:D80,3,FALSE)</f>
        <v>5.1424999999999998E-2</v>
      </c>
    </row>
    <row r="5" spans="1:4" ht="15" thickBot="1" x14ac:dyDescent="0.35">
      <c r="A5" s="20" t="s">
        <v>19</v>
      </c>
      <c r="B5" s="23">
        <f>VLOOKUP(B1,A9:D80,4,FALSE)</f>
        <v>6.5000000000000002E-2</v>
      </c>
    </row>
    <row r="6" spans="1:4" ht="15" thickBot="1" x14ac:dyDescent="0.35">
      <c r="A6" s="20" t="s">
        <v>1</v>
      </c>
      <c r="B6" s="24">
        <f>IF('DOR Methodology'!D6="Comm/Ind/Apt",MarketRates!B4,IF('DOR Methodology'!D6="Res/SRR",MarketRates!B3,MarketRates!B5))</f>
        <v>3.6600000000000001E-2</v>
      </c>
    </row>
    <row r="8" spans="1:4" x14ac:dyDescent="0.3">
      <c r="B8" s="33" t="s">
        <v>17</v>
      </c>
      <c r="C8" s="8" t="s">
        <v>22</v>
      </c>
      <c r="D8" s="33" t="s">
        <v>23</v>
      </c>
    </row>
    <row r="9" spans="1:4" x14ac:dyDescent="0.3">
      <c r="A9" s="19">
        <v>42005</v>
      </c>
      <c r="B9" s="18">
        <v>3.8399999999999997E-2</v>
      </c>
      <c r="C9" s="34">
        <v>4.0300000000000002E-2</v>
      </c>
      <c r="D9" s="18">
        <v>5.04E-2</v>
      </c>
    </row>
    <row r="10" spans="1:4" x14ac:dyDescent="0.3">
      <c r="A10" s="19">
        <v>42036</v>
      </c>
      <c r="B10" s="18">
        <v>3.7499999999999999E-2</v>
      </c>
      <c r="C10" s="34">
        <v>4.0300000000000002E-2</v>
      </c>
      <c r="D10" s="18">
        <v>5.04E-2</v>
      </c>
    </row>
    <row r="11" spans="1:4" x14ac:dyDescent="0.3">
      <c r="A11" s="19">
        <v>42064</v>
      </c>
      <c r="B11" s="18">
        <v>3.7199999999999997E-2</v>
      </c>
      <c r="C11" s="34">
        <v>4.0300000000000002E-2</v>
      </c>
      <c r="D11" s="18">
        <v>5.04E-2</v>
      </c>
    </row>
    <row r="12" spans="1:4" x14ac:dyDescent="0.3">
      <c r="A12" s="19">
        <v>42095</v>
      </c>
      <c r="B12" s="18">
        <v>3.7199999999999997E-2</v>
      </c>
      <c r="C12" s="34">
        <v>4.0300000000000002E-2</v>
      </c>
      <c r="D12" s="18">
        <v>4.4999999999999998E-2</v>
      </c>
    </row>
    <row r="13" spans="1:4" x14ac:dyDescent="0.3">
      <c r="A13" s="19">
        <v>42125</v>
      </c>
      <c r="B13" s="18">
        <v>3.7600000000000001E-2</v>
      </c>
      <c r="C13" s="34">
        <v>4.0300000000000002E-2</v>
      </c>
      <c r="D13" s="18">
        <v>4.4999999999999998E-2</v>
      </c>
    </row>
    <row r="14" spans="1:4" x14ac:dyDescent="0.3">
      <c r="A14" s="19">
        <v>42156</v>
      </c>
      <c r="B14" s="18">
        <v>3.8300000000000001E-2</v>
      </c>
      <c r="C14" s="34">
        <v>4.0300000000000002E-2</v>
      </c>
      <c r="D14" s="18">
        <v>4.4999999999999998E-2</v>
      </c>
    </row>
    <row r="15" spans="1:4" x14ac:dyDescent="0.3">
      <c r="A15" s="19">
        <v>42186</v>
      </c>
      <c r="B15" s="18">
        <v>3.9600000000000003E-2</v>
      </c>
      <c r="C15" s="34">
        <v>4.0300000000000002E-2</v>
      </c>
      <c r="D15" s="18">
        <v>4.4999999999999998E-2</v>
      </c>
    </row>
    <row r="16" spans="1:4" x14ac:dyDescent="0.3">
      <c r="A16" s="19">
        <v>42217</v>
      </c>
      <c r="B16" s="18">
        <v>3.9800000000000002E-2</v>
      </c>
      <c r="C16" s="34">
        <v>4.0300000000000002E-2</v>
      </c>
      <c r="D16" s="18">
        <v>4.4999999999999998E-2</v>
      </c>
    </row>
    <row r="17" spans="1:4" x14ac:dyDescent="0.3">
      <c r="A17" s="19">
        <v>42248</v>
      </c>
      <c r="B17" s="18">
        <v>3.95E-2</v>
      </c>
      <c r="C17" s="34">
        <v>4.0300000000000002E-2</v>
      </c>
      <c r="D17" s="18">
        <v>4.4999999999999998E-2</v>
      </c>
    </row>
    <row r="18" spans="1:4" x14ac:dyDescent="0.3">
      <c r="A18" s="19">
        <v>42278</v>
      </c>
      <c r="B18" s="18">
        <v>3.8600000000000002E-2</v>
      </c>
      <c r="C18" s="34">
        <v>4.0300000000000002E-2</v>
      </c>
      <c r="D18" s="18">
        <v>4.4999999999999998E-2</v>
      </c>
    </row>
    <row r="19" spans="1:4" x14ac:dyDescent="0.3">
      <c r="A19" s="19">
        <v>42309</v>
      </c>
      <c r="B19" s="18">
        <v>3.8800000000000001E-2</v>
      </c>
      <c r="C19" s="34">
        <v>4.0300000000000002E-2</v>
      </c>
      <c r="D19" s="18">
        <v>4.4999999999999998E-2</v>
      </c>
    </row>
    <row r="20" spans="1:4" x14ac:dyDescent="0.3">
      <c r="A20" s="19">
        <v>42339</v>
      </c>
      <c r="B20" s="18">
        <v>3.9E-2</v>
      </c>
      <c r="C20" s="34">
        <v>4.0300000000000002E-2</v>
      </c>
      <c r="D20" s="18">
        <v>4.4999999999999998E-2</v>
      </c>
    </row>
    <row r="21" spans="1:4" x14ac:dyDescent="0.3">
      <c r="A21" s="19">
        <v>42370</v>
      </c>
      <c r="B21" s="18">
        <v>3.9300000000000002E-2</v>
      </c>
      <c r="C21" s="34">
        <v>4.8974999999999998E-2</v>
      </c>
      <c r="D21" s="18">
        <v>4.7500000000000001E-2</v>
      </c>
    </row>
    <row r="22" spans="1:4" x14ac:dyDescent="0.3">
      <c r="A22" s="19">
        <v>42401</v>
      </c>
      <c r="B22" s="18">
        <v>3.8300000000000001E-2</v>
      </c>
      <c r="C22" s="34">
        <v>4.8974999999999998E-2</v>
      </c>
      <c r="D22" s="18">
        <v>4.7500000000000001E-2</v>
      </c>
    </row>
    <row r="23" spans="1:4" x14ac:dyDescent="0.3">
      <c r="A23" s="19">
        <v>42430</v>
      </c>
      <c r="B23" s="18">
        <v>3.7400000000000003E-2</v>
      </c>
      <c r="C23" s="34">
        <v>4.8974999999999998E-2</v>
      </c>
      <c r="D23" s="18">
        <v>4.7500000000000001E-2</v>
      </c>
    </row>
    <row r="24" spans="1:4" x14ac:dyDescent="0.3">
      <c r="A24" s="19">
        <v>42461</v>
      </c>
      <c r="B24" s="18">
        <v>3.6499999999999998E-2</v>
      </c>
      <c r="C24" s="34">
        <v>4.8974999999999998E-2</v>
      </c>
      <c r="D24" s="18">
        <v>4.7500000000000001E-2</v>
      </c>
    </row>
    <row r="25" spans="1:4" x14ac:dyDescent="0.3">
      <c r="A25" s="19">
        <v>42491</v>
      </c>
      <c r="B25" s="18">
        <v>3.6299999999999999E-2</v>
      </c>
      <c r="C25" s="34">
        <v>4.8974999999999998E-2</v>
      </c>
      <c r="D25" s="18">
        <v>4.7500000000000001E-2</v>
      </c>
    </row>
    <row r="26" spans="1:4" x14ac:dyDescent="0.3">
      <c r="A26" s="19">
        <v>42522</v>
      </c>
      <c r="B26" s="18">
        <v>3.5900000000000001E-2</v>
      </c>
      <c r="C26" s="34">
        <v>4.8974999999999998E-2</v>
      </c>
      <c r="D26" s="18">
        <v>4.7500000000000001E-2</v>
      </c>
    </row>
    <row r="27" spans="1:4" x14ac:dyDescent="0.3">
      <c r="A27" s="19">
        <v>42552</v>
      </c>
      <c r="B27" s="18">
        <v>3.5400000000000001E-2</v>
      </c>
      <c r="C27" s="34">
        <v>4.9224999999999998E-2</v>
      </c>
      <c r="D27" s="18">
        <v>4.7500000000000001E-2</v>
      </c>
    </row>
    <row r="28" spans="1:4" x14ac:dyDescent="0.3">
      <c r="A28" s="19">
        <v>42583</v>
      </c>
      <c r="B28" s="18">
        <v>3.4799999999999998E-2</v>
      </c>
      <c r="C28" s="34">
        <v>4.9224999999999998E-2</v>
      </c>
      <c r="D28" s="18">
        <v>4.7500000000000001E-2</v>
      </c>
    </row>
    <row r="29" spans="1:4" x14ac:dyDescent="0.3">
      <c r="A29" s="19">
        <v>42614</v>
      </c>
      <c r="B29" s="18">
        <v>3.4500000000000003E-2</v>
      </c>
      <c r="C29" s="34">
        <v>4.9224999999999998E-2</v>
      </c>
      <c r="D29" s="18">
        <v>4.7500000000000001E-2</v>
      </c>
    </row>
    <row r="30" spans="1:4" x14ac:dyDescent="0.3">
      <c r="A30" s="19">
        <v>42644</v>
      </c>
      <c r="B30" s="18">
        <v>3.4599999999999999E-2</v>
      </c>
      <c r="C30" s="34">
        <v>4.8099999999999997E-2</v>
      </c>
      <c r="D30" s="18">
        <v>4.7500000000000001E-2</v>
      </c>
    </row>
    <row r="31" spans="1:4" x14ac:dyDescent="0.3">
      <c r="A31" s="19">
        <v>42675</v>
      </c>
      <c r="B31" s="18">
        <v>3.5700000000000003E-2</v>
      </c>
      <c r="C31" s="34">
        <v>4.8099999999999997E-2</v>
      </c>
      <c r="D31" s="18">
        <v>4.7500000000000001E-2</v>
      </c>
    </row>
    <row r="32" spans="1:4" x14ac:dyDescent="0.3">
      <c r="A32" s="19">
        <v>42705</v>
      </c>
      <c r="B32" s="18">
        <v>3.8100000000000002E-2</v>
      </c>
      <c r="C32" s="34">
        <v>4.8099999999999997E-2</v>
      </c>
      <c r="D32" s="18">
        <v>0.05</v>
      </c>
    </row>
    <row r="33" spans="1:4" x14ac:dyDescent="0.3">
      <c r="A33" s="19">
        <v>42736</v>
      </c>
      <c r="B33" s="18">
        <v>4.0399999999999998E-2</v>
      </c>
      <c r="C33" s="34">
        <v>5.5399999999999998E-2</v>
      </c>
      <c r="D33" s="18">
        <v>0.05</v>
      </c>
    </row>
    <row r="34" spans="1:4" x14ac:dyDescent="0.3">
      <c r="A34" s="19">
        <v>42767</v>
      </c>
      <c r="B34" s="18">
        <v>4.1700000000000001E-2</v>
      </c>
      <c r="C34" s="34">
        <v>5.5399999999999998E-2</v>
      </c>
      <c r="D34" s="18">
        <v>0.05</v>
      </c>
    </row>
    <row r="35" spans="1:4" x14ac:dyDescent="0.3">
      <c r="A35" s="19">
        <v>42795</v>
      </c>
      <c r="B35" s="18">
        <v>4.1700000000000001E-2</v>
      </c>
      <c r="C35" s="34">
        <v>5.5399999999999998E-2</v>
      </c>
      <c r="D35" s="18">
        <v>5.2499999999999998E-2</v>
      </c>
    </row>
    <row r="36" spans="1:4" x14ac:dyDescent="0.3">
      <c r="A36" s="19">
        <v>42826</v>
      </c>
      <c r="B36" s="18">
        <v>4.1399999999999999E-2</v>
      </c>
      <c r="C36" s="34">
        <v>5.3600000000000002E-2</v>
      </c>
      <c r="D36" s="18">
        <v>5.2499999999999998E-2</v>
      </c>
    </row>
    <row r="37" spans="1:4" x14ac:dyDescent="0.3">
      <c r="A37" s="19">
        <v>42856</v>
      </c>
      <c r="B37" s="18">
        <v>4.0800000000000003E-2</v>
      </c>
      <c r="C37" s="34">
        <v>5.3600000000000002E-2</v>
      </c>
      <c r="D37" s="18">
        <v>5.2499999999999998E-2</v>
      </c>
    </row>
    <row r="38" spans="1:4" x14ac:dyDescent="0.3">
      <c r="A38" s="19">
        <v>42887</v>
      </c>
      <c r="B38" s="18">
        <v>3.9900000000000005E-2</v>
      </c>
      <c r="C38" s="34">
        <v>5.3600000000000002E-2</v>
      </c>
      <c r="D38" s="18">
        <v>5.5E-2</v>
      </c>
    </row>
    <row r="39" spans="1:4" x14ac:dyDescent="0.3">
      <c r="A39" s="19">
        <v>42917</v>
      </c>
      <c r="B39" s="33">
        <v>3.9600000000000003E-2</v>
      </c>
      <c r="C39" s="35">
        <v>5.2775000000000002E-2</v>
      </c>
      <c r="D39" s="18">
        <v>5.5E-2</v>
      </c>
    </row>
    <row r="40" spans="1:4" x14ac:dyDescent="0.3">
      <c r="A40" s="19">
        <v>42948</v>
      </c>
      <c r="B40" s="33">
        <v>3.9199999999999999E-2</v>
      </c>
      <c r="C40" s="35">
        <v>5.2775000000000002E-2</v>
      </c>
      <c r="D40" s="18">
        <v>5.5E-2</v>
      </c>
    </row>
    <row r="41" spans="1:4" x14ac:dyDescent="0.3">
      <c r="A41" s="19">
        <v>42979</v>
      </c>
      <c r="B41" s="33">
        <v>3.8800000000000001E-2</v>
      </c>
      <c r="C41" s="35">
        <v>5.2775000000000002E-2</v>
      </c>
      <c r="D41" s="18">
        <v>5.5E-2</v>
      </c>
    </row>
    <row r="42" spans="1:4" x14ac:dyDescent="0.3">
      <c r="A42" s="19">
        <v>43009</v>
      </c>
      <c r="B42" s="37">
        <v>3.8600000000000002E-2</v>
      </c>
      <c r="C42" s="35">
        <v>5.1999999999999998E-2</v>
      </c>
      <c r="D42" s="18">
        <v>5.5E-2</v>
      </c>
    </row>
    <row r="43" spans="1:4" x14ac:dyDescent="0.3">
      <c r="A43" s="19">
        <v>43040</v>
      </c>
      <c r="B43" s="37">
        <v>3.8739999999999997E-2</v>
      </c>
      <c r="C43" s="35">
        <v>5.1999999999999998E-2</v>
      </c>
      <c r="D43" s="18">
        <v>5.5E-2</v>
      </c>
    </row>
    <row r="44" spans="1:4" x14ac:dyDescent="0.3">
      <c r="A44" s="19">
        <v>43070</v>
      </c>
      <c r="B44" s="37">
        <v>3.9223333333333332E-2</v>
      </c>
      <c r="C44" s="35">
        <v>5.1999999999999998E-2</v>
      </c>
      <c r="D44" s="18">
        <v>5.7500000000000002E-2</v>
      </c>
    </row>
    <row r="45" spans="1:4" x14ac:dyDescent="0.3">
      <c r="A45" s="19">
        <v>43101</v>
      </c>
      <c r="B45" s="37">
        <v>3.9699999999999999E-2</v>
      </c>
      <c r="C45" s="35">
        <v>5.3425E-2</v>
      </c>
      <c r="D45" s="18">
        <v>5.7500000000000002E-2</v>
      </c>
    </row>
    <row r="46" spans="1:4" x14ac:dyDescent="0.3">
      <c r="A46" s="19">
        <v>43132</v>
      </c>
      <c r="B46" s="37">
        <v>4.1000000000000002E-2</v>
      </c>
      <c r="C46" s="35">
        <v>5.3425E-2</v>
      </c>
      <c r="D46" s="18">
        <v>5.7500000000000002E-2</v>
      </c>
    </row>
    <row r="47" spans="1:4" x14ac:dyDescent="0.3">
      <c r="A47" s="19">
        <v>43160</v>
      </c>
      <c r="B47" s="37">
        <v>4.2700000000000002E-2</v>
      </c>
      <c r="C47" s="35">
        <v>5.3425E-2</v>
      </c>
      <c r="D47" s="18">
        <v>5.7500000000000002E-2</v>
      </c>
    </row>
    <row r="48" spans="1:4" x14ac:dyDescent="0.3">
      <c r="A48" s="19">
        <v>43191</v>
      </c>
      <c r="B48" s="37">
        <v>4.41E-2</v>
      </c>
      <c r="C48" s="35">
        <v>5.7375000000000002E-2</v>
      </c>
      <c r="D48" s="18">
        <v>0.06</v>
      </c>
    </row>
    <row r="49" spans="1:4" x14ac:dyDescent="0.3">
      <c r="A49" s="19">
        <v>43221</v>
      </c>
      <c r="B49" s="37">
        <v>4.4999999999999998E-2</v>
      </c>
      <c r="C49" s="35">
        <v>5.7375000000000002E-2</v>
      </c>
      <c r="D49" s="18">
        <v>0.06</v>
      </c>
    </row>
    <row r="50" spans="1:4" x14ac:dyDescent="0.3">
      <c r="A50" s="19">
        <v>43252</v>
      </c>
      <c r="B50" s="37">
        <v>4.5400000000000003E-2</v>
      </c>
      <c r="C50" s="35">
        <v>5.7375000000000002E-2</v>
      </c>
      <c r="D50" s="18">
        <v>6.25E-2</v>
      </c>
    </row>
    <row r="51" spans="1:4" x14ac:dyDescent="0.3">
      <c r="A51" s="19">
        <v>43282</v>
      </c>
      <c r="B51" s="37">
        <v>4.5600000000000002E-2</v>
      </c>
      <c r="C51" s="35">
        <v>5.8000000000000003E-2</v>
      </c>
      <c r="D51" s="18">
        <v>6.25E-2</v>
      </c>
    </row>
    <row r="52" spans="1:4" x14ac:dyDescent="0.3">
      <c r="A52" s="19">
        <v>43313</v>
      </c>
      <c r="B52" s="37">
        <v>4.5499999999999999E-2</v>
      </c>
      <c r="C52" s="35">
        <v>5.8000000000000003E-2</v>
      </c>
      <c r="D52" s="18">
        <v>6.25E-2</v>
      </c>
    </row>
    <row r="53" spans="1:4" x14ac:dyDescent="0.3">
      <c r="A53" s="19">
        <v>43344</v>
      </c>
      <c r="B53" s="37">
        <v>4.5699999999999998E-2</v>
      </c>
      <c r="C53" s="35">
        <v>5.8000000000000003E-2</v>
      </c>
      <c r="D53" s="18">
        <v>6.25E-2</v>
      </c>
    </row>
    <row r="54" spans="1:4" x14ac:dyDescent="0.3">
      <c r="A54" s="19">
        <v>43374</v>
      </c>
      <c r="B54" s="37">
        <v>4.6699999999999998E-2</v>
      </c>
      <c r="C54" s="35">
        <v>5.7125000000000002E-2</v>
      </c>
      <c r="D54" s="18">
        <v>6.5000000000000002E-2</v>
      </c>
    </row>
    <row r="55" spans="1:4" x14ac:dyDescent="0.3">
      <c r="A55" s="19">
        <v>43405</v>
      </c>
      <c r="B55" s="37">
        <v>4.7699999999999999E-2</v>
      </c>
      <c r="C55" s="35">
        <v>5.7125000000000002E-2</v>
      </c>
      <c r="D55" s="18">
        <v>6.5000000000000002E-2</v>
      </c>
    </row>
    <row r="56" spans="1:4" x14ac:dyDescent="0.3">
      <c r="A56" s="19">
        <v>43435</v>
      </c>
      <c r="B56" s="37">
        <v>4.7800000000000002E-2</v>
      </c>
      <c r="C56" s="35">
        <v>5.7125000000000002E-2</v>
      </c>
      <c r="D56" s="18">
        <v>6.5000000000000002E-2</v>
      </c>
    </row>
    <row r="57" spans="1:4" x14ac:dyDescent="0.3">
      <c r="A57" s="19">
        <v>43466</v>
      </c>
      <c r="B57" s="37">
        <v>4.6600000000000003E-2</v>
      </c>
      <c r="C57" s="35">
        <v>5.9374999999999997E-2</v>
      </c>
      <c r="D57" s="18">
        <v>6.7500000000000004E-2</v>
      </c>
    </row>
    <row r="58" spans="1:4" x14ac:dyDescent="0.3">
      <c r="A58" s="19">
        <v>43497</v>
      </c>
      <c r="B58" s="37">
        <v>4.4900000000000002E-2</v>
      </c>
      <c r="C58" s="35">
        <v>5.9374999999999997E-2</v>
      </c>
      <c r="D58" s="18">
        <v>6.7500000000000004E-2</v>
      </c>
    </row>
    <row r="59" spans="1:4" x14ac:dyDescent="0.3">
      <c r="A59" s="19">
        <v>43525</v>
      </c>
      <c r="B59" s="37">
        <v>4.3700000000000003E-2</v>
      </c>
      <c r="C59" s="35">
        <v>5.9374999999999997E-2</v>
      </c>
      <c r="D59" s="18">
        <v>6.7500000000000004E-2</v>
      </c>
    </row>
    <row r="60" spans="1:4" x14ac:dyDescent="0.3">
      <c r="A60" s="19">
        <v>43556</v>
      </c>
      <c r="B60" s="37">
        <v>4.2599999999999999E-2</v>
      </c>
      <c r="C60" s="35">
        <v>5.4975000000000003E-2</v>
      </c>
      <c r="D60" s="18">
        <v>6.7500000000000004E-2</v>
      </c>
    </row>
    <row r="61" spans="1:4" x14ac:dyDescent="0.3">
      <c r="A61" s="19">
        <v>43586</v>
      </c>
      <c r="B61" s="37">
        <v>4.1599999999999998E-2</v>
      </c>
      <c r="C61" s="35">
        <v>5.4975000000000003E-2</v>
      </c>
      <c r="D61" s="18">
        <v>6.7500000000000004E-2</v>
      </c>
    </row>
    <row r="62" spans="1:4" x14ac:dyDescent="0.3">
      <c r="A62" s="19">
        <v>43617</v>
      </c>
      <c r="B62" s="37">
        <v>4.0099999999999997E-2</v>
      </c>
      <c r="C62" s="35">
        <v>5.4975000000000003E-2</v>
      </c>
      <c r="D62" s="18">
        <v>6.7500000000000004E-2</v>
      </c>
    </row>
    <row r="63" spans="1:4" x14ac:dyDescent="0.3">
      <c r="A63" s="19">
        <v>43647</v>
      </c>
      <c r="B63" s="37">
        <v>3.8800000000000001E-2</v>
      </c>
      <c r="C63" s="35">
        <v>5.1424999999999998E-2</v>
      </c>
      <c r="D63" s="18">
        <v>6.7500000000000004E-2</v>
      </c>
    </row>
    <row r="64" spans="1:4" x14ac:dyDescent="0.3">
      <c r="A64" s="19">
        <v>43678</v>
      </c>
      <c r="B64" s="37">
        <v>3.73E-2</v>
      </c>
      <c r="C64" s="35">
        <v>5.1424999999999998E-2</v>
      </c>
      <c r="D64" s="18">
        <v>6.5000000000000002E-2</v>
      </c>
    </row>
    <row r="65" spans="1:4" x14ac:dyDescent="0.3">
      <c r="A65" s="19">
        <v>43709</v>
      </c>
      <c r="B65" s="37">
        <v>3.6600000000000001E-2</v>
      </c>
      <c r="C65" s="35">
        <v>5.1424999999999998E-2</v>
      </c>
      <c r="D65" s="18">
        <v>6.5000000000000002E-2</v>
      </c>
    </row>
    <row r="66" spans="1:4" x14ac:dyDescent="0.3">
      <c r="A66" s="19">
        <v>43739</v>
      </c>
    </row>
    <row r="67" spans="1:4" x14ac:dyDescent="0.3">
      <c r="A67" s="19">
        <v>43770</v>
      </c>
    </row>
    <row r="68" spans="1:4" x14ac:dyDescent="0.3">
      <c r="A68" s="19">
        <v>43800</v>
      </c>
    </row>
    <row r="69" spans="1:4" x14ac:dyDescent="0.3">
      <c r="A69" s="19">
        <v>43831</v>
      </c>
    </row>
    <row r="70" spans="1:4" x14ac:dyDescent="0.3">
      <c r="A70" s="19">
        <v>43862</v>
      </c>
    </row>
    <row r="71" spans="1:4" x14ac:dyDescent="0.3">
      <c r="A71" s="19">
        <v>43891</v>
      </c>
    </row>
    <row r="72" spans="1:4" x14ac:dyDescent="0.3">
      <c r="A72" s="19">
        <v>43922</v>
      </c>
    </row>
    <row r="73" spans="1:4" x14ac:dyDescent="0.3">
      <c r="A73" s="19">
        <v>43952</v>
      </c>
    </row>
    <row r="74" spans="1:4" x14ac:dyDescent="0.3">
      <c r="A74" s="19">
        <v>43983</v>
      </c>
    </row>
    <row r="75" spans="1:4" x14ac:dyDescent="0.3">
      <c r="A75" s="19">
        <v>44013</v>
      </c>
    </row>
    <row r="76" spans="1:4" x14ac:dyDescent="0.3">
      <c r="A76" s="19">
        <v>44044</v>
      </c>
    </row>
    <row r="77" spans="1:4" x14ac:dyDescent="0.3">
      <c r="A77" s="19">
        <v>44075</v>
      </c>
    </row>
    <row r="78" spans="1:4" x14ac:dyDescent="0.3">
      <c r="A78" s="19">
        <v>44105</v>
      </c>
    </row>
    <row r="79" spans="1:4" x14ac:dyDescent="0.3">
      <c r="A79" s="19">
        <v>44136</v>
      </c>
    </row>
    <row r="80" spans="1:4" x14ac:dyDescent="0.3">
      <c r="A80" s="19">
        <v>44166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5"/>
  <sheetViews>
    <sheetView workbookViewId="0">
      <selection activeCell="B3" sqref="B3"/>
    </sheetView>
  </sheetViews>
  <sheetFormatPr defaultRowHeight="14.4" x14ac:dyDescent="0.3"/>
  <cols>
    <col min="1" max="1" width="27.44140625" bestFit="1" customWidth="1"/>
    <col min="2" max="2" width="25.6640625" customWidth="1"/>
  </cols>
  <sheetData>
    <row r="1" spans="1:2" x14ac:dyDescent="0.3">
      <c r="A1" t="s">
        <v>7</v>
      </c>
    </row>
    <row r="2" spans="1:2" x14ac:dyDescent="0.3">
      <c r="A2" t="s">
        <v>43</v>
      </c>
      <c r="B2">
        <f>VLOOKUP('DOR Methodology'!D16,DropdownLists!A2:B6,2,FALSE)</f>
        <v>12</v>
      </c>
    </row>
    <row r="3" spans="1:2" x14ac:dyDescent="0.3">
      <c r="A3" t="s">
        <v>42</v>
      </c>
      <c r="B3" s="1">
        <f>IF(B2="ERROR",0,IF('DOR Methodology'!D14&gt;0,-PV('DOR Methodology'!G6/PVCalc!B2,'DOR Methodology'!D19,'DOR Methodology'!D17),0))</f>
        <v>0</v>
      </c>
    </row>
    <row r="5" spans="1:2" x14ac:dyDescent="0.3">
      <c r="A5" t="s">
        <v>47</v>
      </c>
    </row>
    <row r="6" spans="1:2" x14ac:dyDescent="0.3">
      <c r="A6" t="s">
        <v>48</v>
      </c>
      <c r="B6" s="4">
        <f>YEAR('DOR Methodology'!D24)-YEAR('DOR Methodology'!D5)</f>
        <v>-119</v>
      </c>
    </row>
    <row r="7" spans="1:2" x14ac:dyDescent="0.3">
      <c r="A7" t="s">
        <v>42</v>
      </c>
      <c r="B7" s="4">
        <f>IF('DOR Methodology'!D23&gt;0,'DOR Methodology'!D23/((1+'DOR Methodology'!G6)^PVCalc!B6),0)</f>
        <v>0</v>
      </c>
    </row>
    <row r="9" spans="1:2" x14ac:dyDescent="0.3">
      <c r="A9" t="s">
        <v>46</v>
      </c>
    </row>
    <row r="10" spans="1:2" x14ac:dyDescent="0.3">
      <c r="A10" t="s">
        <v>43</v>
      </c>
      <c r="B10">
        <f>VLOOKUP('DOR Methodology'!D30,DropdownLists!A2:B6,2,FALSE)</f>
        <v>2</v>
      </c>
    </row>
    <row r="11" spans="1:2" x14ac:dyDescent="0.3">
      <c r="A11" t="s">
        <v>42</v>
      </c>
      <c r="B11" s="1">
        <f>IF(B10="ERROR",0,IF('DOR Methodology'!D28&gt;0,-PV('DOR Methodology'!G6/PVCalc!B10,'DOR Methodology'!D33,'DOR Methodology'!D31),0))</f>
        <v>0</v>
      </c>
    </row>
    <row r="13" spans="1:2" x14ac:dyDescent="0.3">
      <c r="A13" t="s">
        <v>50</v>
      </c>
    </row>
    <row r="14" spans="1:2" x14ac:dyDescent="0.3">
      <c r="A14" t="s">
        <v>48</v>
      </c>
      <c r="B14" s="3">
        <f>YEAR('DOR Methodology'!D38)-YEAR('DOR Methodology'!D5)</f>
        <v>-119</v>
      </c>
    </row>
    <row r="15" spans="1:2" x14ac:dyDescent="0.3">
      <c r="A15" t="s">
        <v>42</v>
      </c>
      <c r="B15" s="4">
        <f>IF('DOR Methodology'!D37&gt;0,'DOR Methodology'!D37/((1+'DOR Methodology'!G6)^PVCalc!B14),0)</f>
        <v>0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3"/>
  <sheetViews>
    <sheetView showFormulas="1" workbookViewId="0">
      <selection activeCell="B4" sqref="B4"/>
    </sheetView>
  </sheetViews>
  <sheetFormatPr defaultRowHeight="14.4" x14ac:dyDescent="0.3"/>
  <cols>
    <col min="1" max="1" width="13.33203125" bestFit="1" customWidth="1"/>
    <col min="4" max="4" width="20.109375" bestFit="1" customWidth="1"/>
    <col min="8" max="8" width="7.44140625" bestFit="1" customWidth="1"/>
  </cols>
  <sheetData>
    <row r="1" spans="1:10" x14ac:dyDescent="0.3">
      <c r="A1" t="s">
        <v>35</v>
      </c>
      <c r="D1" t="s">
        <v>36</v>
      </c>
      <c r="F1" t="s">
        <v>40</v>
      </c>
      <c r="H1" t="s">
        <v>41</v>
      </c>
    </row>
    <row r="2" spans="1:10" x14ac:dyDescent="0.3">
      <c r="A2" t="s">
        <v>29</v>
      </c>
      <c r="B2">
        <v>1</v>
      </c>
      <c r="D2" t="s">
        <v>37</v>
      </c>
      <c r="F2" t="s">
        <v>17</v>
      </c>
      <c r="H2" s="2">
        <v>42005</v>
      </c>
      <c r="J2" s="5"/>
    </row>
    <row r="3" spans="1:10" x14ac:dyDescent="0.3">
      <c r="A3" t="s">
        <v>31</v>
      </c>
      <c r="B3">
        <v>2</v>
      </c>
      <c r="D3" t="s">
        <v>39</v>
      </c>
      <c r="F3" t="s">
        <v>18</v>
      </c>
      <c r="H3" s="2">
        <v>42036</v>
      </c>
      <c r="J3" s="5"/>
    </row>
    <row r="4" spans="1:10" x14ac:dyDescent="0.3">
      <c r="A4" t="s">
        <v>32</v>
      </c>
      <c r="B4">
        <v>4</v>
      </c>
      <c r="D4" t="s">
        <v>38</v>
      </c>
      <c r="F4" t="s">
        <v>19</v>
      </c>
      <c r="H4" s="2">
        <v>42064</v>
      </c>
    </row>
    <row r="5" spans="1:10" x14ac:dyDescent="0.3">
      <c r="A5" t="s">
        <v>30</v>
      </c>
      <c r="B5">
        <v>12</v>
      </c>
      <c r="H5" s="2">
        <v>42095</v>
      </c>
    </row>
    <row r="6" spans="1:10" x14ac:dyDescent="0.3">
      <c r="A6" t="s">
        <v>33</v>
      </c>
      <c r="B6" t="s">
        <v>44</v>
      </c>
      <c r="H6" s="2">
        <v>42125</v>
      </c>
    </row>
    <row r="7" spans="1:10" x14ac:dyDescent="0.3">
      <c r="H7" s="2">
        <v>42156</v>
      </c>
    </row>
    <row r="8" spans="1:10" x14ac:dyDescent="0.3">
      <c r="H8" s="2">
        <v>42186</v>
      </c>
    </row>
    <row r="9" spans="1:10" x14ac:dyDescent="0.3">
      <c r="H9" s="2">
        <v>42217</v>
      </c>
    </row>
    <row r="10" spans="1:10" x14ac:dyDescent="0.3">
      <c r="H10" s="2">
        <v>42248</v>
      </c>
    </row>
    <row r="11" spans="1:10" x14ac:dyDescent="0.3">
      <c r="H11" s="2">
        <v>42278</v>
      </c>
    </row>
    <row r="12" spans="1:10" x14ac:dyDescent="0.3">
      <c r="H12" s="2">
        <v>42309</v>
      </c>
    </row>
    <row r="13" spans="1:10" x14ac:dyDescent="0.3">
      <c r="H13" s="2">
        <v>42339</v>
      </c>
    </row>
    <row r="14" spans="1:10" x14ac:dyDescent="0.3">
      <c r="H14" s="2">
        <v>42370</v>
      </c>
    </row>
    <row r="15" spans="1:10" x14ac:dyDescent="0.3">
      <c r="H15" s="2">
        <v>42401</v>
      </c>
    </row>
    <row r="16" spans="1:10" x14ac:dyDescent="0.3">
      <c r="H16" s="2">
        <v>42430</v>
      </c>
    </row>
    <row r="17" spans="8:8" x14ac:dyDescent="0.3">
      <c r="H17" s="2">
        <v>42461</v>
      </c>
    </row>
    <row r="18" spans="8:8" x14ac:dyDescent="0.3">
      <c r="H18" s="2">
        <v>42491</v>
      </c>
    </row>
    <row r="19" spans="8:8" x14ac:dyDescent="0.3">
      <c r="H19" s="2">
        <v>42522</v>
      </c>
    </row>
    <row r="20" spans="8:8" x14ac:dyDescent="0.3">
      <c r="H20" s="2">
        <v>42552</v>
      </c>
    </row>
    <row r="21" spans="8:8" x14ac:dyDescent="0.3">
      <c r="H21" s="2">
        <v>42583</v>
      </c>
    </row>
    <row r="22" spans="8:8" x14ac:dyDescent="0.3">
      <c r="H22" s="2">
        <v>42614</v>
      </c>
    </row>
    <row r="23" spans="8:8" x14ac:dyDescent="0.3">
      <c r="H23" s="2">
        <v>42644</v>
      </c>
    </row>
    <row r="24" spans="8:8" x14ac:dyDescent="0.3">
      <c r="H24" s="2">
        <v>42675</v>
      </c>
    </row>
    <row r="25" spans="8:8" x14ac:dyDescent="0.3">
      <c r="H25" s="2">
        <v>42705</v>
      </c>
    </row>
    <row r="26" spans="8:8" x14ac:dyDescent="0.3">
      <c r="H26" s="2">
        <v>42736</v>
      </c>
    </row>
    <row r="27" spans="8:8" x14ac:dyDescent="0.3">
      <c r="H27" s="2">
        <v>42767</v>
      </c>
    </row>
    <row r="28" spans="8:8" x14ac:dyDescent="0.3">
      <c r="H28" s="2">
        <v>42795</v>
      </c>
    </row>
    <row r="29" spans="8:8" x14ac:dyDescent="0.3">
      <c r="H29" s="2">
        <v>42826</v>
      </c>
    </row>
    <row r="30" spans="8:8" x14ac:dyDescent="0.3">
      <c r="H30" s="2">
        <v>42856</v>
      </c>
    </row>
    <row r="31" spans="8:8" x14ac:dyDescent="0.3">
      <c r="H31" s="2">
        <v>42887</v>
      </c>
    </row>
    <row r="32" spans="8:8" x14ac:dyDescent="0.3">
      <c r="H32" s="2">
        <v>42917</v>
      </c>
    </row>
    <row r="33" spans="8:8" x14ac:dyDescent="0.3">
      <c r="H33" s="2">
        <v>42948</v>
      </c>
    </row>
    <row r="34" spans="8:8" x14ac:dyDescent="0.3">
      <c r="H34" s="2">
        <v>42979</v>
      </c>
    </row>
    <row r="35" spans="8:8" x14ac:dyDescent="0.3">
      <c r="H35" s="2">
        <v>43009</v>
      </c>
    </row>
    <row r="36" spans="8:8" x14ac:dyDescent="0.3">
      <c r="H36" s="2">
        <v>43040</v>
      </c>
    </row>
    <row r="37" spans="8:8" x14ac:dyDescent="0.3">
      <c r="H37" s="2">
        <v>43070</v>
      </c>
    </row>
    <row r="38" spans="8:8" x14ac:dyDescent="0.3">
      <c r="H38" s="2">
        <v>43101</v>
      </c>
    </row>
    <row r="39" spans="8:8" x14ac:dyDescent="0.3">
      <c r="H39" s="2">
        <v>43132</v>
      </c>
    </row>
    <row r="40" spans="8:8" x14ac:dyDescent="0.3">
      <c r="H40" s="2">
        <v>43160</v>
      </c>
    </row>
    <row r="41" spans="8:8" x14ac:dyDescent="0.3">
      <c r="H41" s="2">
        <v>43191</v>
      </c>
    </row>
    <row r="42" spans="8:8" x14ac:dyDescent="0.3">
      <c r="H42" s="2">
        <v>43221</v>
      </c>
    </row>
    <row r="43" spans="8:8" x14ac:dyDescent="0.3">
      <c r="H43" s="2">
        <v>43252</v>
      </c>
    </row>
    <row r="44" spans="8:8" x14ac:dyDescent="0.3">
      <c r="H44" s="2">
        <v>43282</v>
      </c>
    </row>
    <row r="45" spans="8:8" x14ac:dyDescent="0.3">
      <c r="H45" s="2">
        <v>43313</v>
      </c>
    </row>
    <row r="46" spans="8:8" x14ac:dyDescent="0.3">
      <c r="H46" s="2">
        <v>43344</v>
      </c>
    </row>
    <row r="47" spans="8:8" x14ac:dyDescent="0.3">
      <c r="H47" s="2">
        <v>43374</v>
      </c>
    </row>
    <row r="48" spans="8:8" x14ac:dyDescent="0.3">
      <c r="H48" s="2">
        <v>43405</v>
      </c>
    </row>
    <row r="49" spans="8:8" x14ac:dyDescent="0.3">
      <c r="H49" s="2">
        <v>43435</v>
      </c>
    </row>
    <row r="50" spans="8:8" x14ac:dyDescent="0.3">
      <c r="H50" s="2">
        <v>43466</v>
      </c>
    </row>
    <row r="51" spans="8:8" x14ac:dyDescent="0.3">
      <c r="H51" s="2">
        <v>43497</v>
      </c>
    </row>
    <row r="52" spans="8:8" x14ac:dyDescent="0.3">
      <c r="H52" s="2">
        <v>43525</v>
      </c>
    </row>
    <row r="53" spans="8:8" x14ac:dyDescent="0.3">
      <c r="H53" s="2">
        <v>43556</v>
      </c>
    </row>
    <row r="54" spans="8:8" x14ac:dyDescent="0.3">
      <c r="H54" s="2">
        <v>43586</v>
      </c>
    </row>
    <row r="55" spans="8:8" x14ac:dyDescent="0.3">
      <c r="H55" s="2">
        <v>43617</v>
      </c>
    </row>
    <row r="56" spans="8:8" x14ac:dyDescent="0.3">
      <c r="H56" s="2">
        <v>43647</v>
      </c>
    </row>
    <row r="57" spans="8:8" x14ac:dyDescent="0.3">
      <c r="H57" s="2">
        <v>43678</v>
      </c>
    </row>
    <row r="58" spans="8:8" x14ac:dyDescent="0.3">
      <c r="H58" s="2">
        <v>43709</v>
      </c>
    </row>
    <row r="59" spans="8:8" x14ac:dyDescent="0.3">
      <c r="H59" s="2">
        <v>43739</v>
      </c>
    </row>
    <row r="60" spans="8:8" x14ac:dyDescent="0.3">
      <c r="H60" s="2">
        <v>43770</v>
      </c>
    </row>
    <row r="61" spans="8:8" x14ac:dyDescent="0.3">
      <c r="H61" s="2">
        <v>43800</v>
      </c>
    </row>
    <row r="62" spans="8:8" x14ac:dyDescent="0.3">
      <c r="H62" s="2">
        <v>43831</v>
      </c>
    </row>
    <row r="63" spans="8:8" x14ac:dyDescent="0.3">
      <c r="H63" s="2">
        <v>43862</v>
      </c>
    </row>
    <row r="64" spans="8:8" x14ac:dyDescent="0.3">
      <c r="H64" s="2">
        <v>43891</v>
      </c>
    </row>
    <row r="65" spans="8:8" x14ac:dyDescent="0.3">
      <c r="H65" s="2">
        <v>43922</v>
      </c>
    </row>
    <row r="66" spans="8:8" x14ac:dyDescent="0.3">
      <c r="H66" s="2">
        <v>43952</v>
      </c>
    </row>
    <row r="67" spans="8:8" x14ac:dyDescent="0.3">
      <c r="H67" s="2">
        <v>43983</v>
      </c>
    </row>
    <row r="68" spans="8:8" x14ac:dyDescent="0.3">
      <c r="H68" s="2">
        <v>44013</v>
      </c>
    </row>
    <row r="69" spans="8:8" x14ac:dyDescent="0.3">
      <c r="H69" s="2">
        <v>44044</v>
      </c>
    </row>
    <row r="70" spans="8:8" x14ac:dyDescent="0.3">
      <c r="H70" s="2">
        <v>44075</v>
      </c>
    </row>
    <row r="71" spans="8:8" x14ac:dyDescent="0.3">
      <c r="H71" s="2">
        <v>44105</v>
      </c>
    </row>
    <row r="72" spans="8:8" x14ac:dyDescent="0.3">
      <c r="H72" s="2">
        <v>44136</v>
      </c>
    </row>
    <row r="73" spans="8:8" x14ac:dyDescent="0.3">
      <c r="H73" s="2">
        <v>44166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perty_Tax_Admin" ma:contentTypeID="0x010100D4DAE881CC37A34085C3FAC40E266D92001D7F0EC72AF14472B98C4548673D67F00000D8A5DEC8D9054DBB5C8796A7C40FCF" ma:contentTypeVersion="3" ma:contentTypeDescription="" ma:contentTypeScope="" ma:versionID="2b68931f22741a4732d5d76064b351a8">
  <xsd:schema xmlns:xsd="http://www.w3.org/2001/XMLSchema" xmlns:xs="http://www.w3.org/2001/XMLSchema" xmlns:p="http://schemas.microsoft.com/office/2006/metadata/properties" xmlns:ns1="http://schemas.microsoft.com/sharepoint/v3" xmlns:ns2="9130277e-1076-48d8-8826-9168779647ca" xmlns:ns3="20163878-13ee-4a88-963f-d5897c3cf16b" targetNamespace="http://schemas.microsoft.com/office/2006/metadata/properties" ma:root="true" ma:fieldsID="5f35a3eb9def2897a3c887beb1243cf9" ns1:_="" ns2:_="" ns3:_="">
    <xsd:import namespace="http://schemas.microsoft.com/sharepoint/v3"/>
    <xsd:import namespace="9130277e-1076-48d8-8826-9168779647ca"/>
    <xsd:import namespace="20163878-13ee-4a88-963f-d5897c3cf16b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Tax_x005f_x0020_Year" minOccurs="0"/>
                <xsd:element ref="ns1:RoutingRuleDescription" minOccurs="0"/>
                <xsd:element ref="ns2:PTASub" minOccurs="0"/>
                <xsd:element ref="ns2:_dlc_DocId" minOccurs="0"/>
                <xsd:element ref="ns2:_dlc_DocIdUrl" minOccurs="0"/>
                <xsd:element ref="ns2:_dlc_DocIdPersistId" minOccurs="0"/>
                <xsd:element ref="ns3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Owner" ma:list="{6e9888c3-c2d3-40b6-9a2e-eae68df0c99f}" ma:internalName="Owner" ma:showField="Title" ma:web="{9130277e-1076-48d8-8826-9168779647ca}">
      <xsd:simpleType>
        <xsd:restriction base="dms:Lookup"/>
      </xsd:simpleType>
    </xsd:element>
    <xsd:element name="Tax_x005f_x0020_Year" ma:index="9" nillable="true" ma:displayName="Tax Year" ma:format="Dropdown" ma:internalName="Tax_x0020_Year">
      <xsd:simpleType>
        <xsd:restriction base="dms:Choice"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NA"/>
        </xsd:restriction>
      </xsd:simpleType>
    </xsd:element>
    <xsd:element name="PTASub" ma:index="11" nillable="true" ma:displayName="PTA_sub" ma:format="Dropdown" ma:internalName="PTASub">
      <xsd:simpleType>
        <xsd:restriction base="dms:Choice">
          <xsd:enumeration value="A/T Education"/>
          <xsd:enumeration value="A/T Manual"/>
          <xsd:enumeration value="Abstract of Assessment"/>
          <xsd:enumeration value="Abstract of Tax List"/>
          <xsd:enumeration value="Adjusted Net Tax Capacities by School District"/>
          <xsd:enumeration value="Ag First Tier Valuation Limit"/>
          <xsd:enumeration value="Agricultural Preserve Credit"/>
          <xsd:enumeration value="Aid and Credit Reductions"/>
          <xsd:enumeration value="Annexations Affecting DRA"/>
          <xsd:enumeration value="CBAE training"/>
          <xsd:enumeration value="City and County Aid Certifications"/>
          <xsd:enumeration value="Class 2c Managed Forest Land"/>
          <xsd:enumeration value="Contamination Tax"/>
          <xsd:enumeration value="County Board of Appeal and Equalization"/>
          <xsd:enumeration value="CRV and Sales Ratio File"/>
          <xsd:enumeration value="Del. Personal Property Tax Manual"/>
          <xsd:enumeration value="Del. Real Property Tax and Tax Forfeiture Manual"/>
          <xsd:enumeration value="Disaster and Destroyed Property"/>
          <xsd:enumeration value="Disparity Reduction Aid (DRA) Certifications"/>
          <xsd:enumeration value="eCRV"/>
          <xsd:enumeration value="Exempt/PILT Supplements"/>
          <xsd:enumeration value="Fall Mini"/>
          <xsd:enumeration value="Firefighters SBR"/>
          <xsd:enumeration value="Fiscal Disparity Option “A”"/>
          <xsd:enumeration value="General"/>
          <xsd:enumeration value="Grain Elevator Manual"/>
          <xsd:enumeration value="Homestead Files"/>
          <xsd:enumeration value="Interest Rates for Minnesota Counties"/>
          <xsd:enumeration value="LBAE training"/>
          <xsd:enumeration value="Levy Limitations"/>
          <xsd:enumeration value="Local Board of Appeal and Equalization"/>
          <xsd:enumeration value="Local Government Aid and Annexations"/>
          <xsd:enumeration value="Manufactured Home Abstract"/>
          <xsd:enumeration value="Market Value by Parcel File"/>
          <xsd:enumeration value="Market Value Credits"/>
          <xsd:enumeration value="Meetings"/>
          <xsd:enumeration value="Minnesota State Board of Assessors"/>
          <xsd:enumeration value="PACE Courses"/>
          <xsd:enumeration value="PILT"/>
          <xsd:enumeration value="Police/Fire Aid"/>
          <xsd:enumeration value="power line credits"/>
          <xsd:enumeration value="PRISM"/>
          <xsd:enumeration value="Property Tax Administrator’s Manual"/>
          <xsd:enumeration value="Property Tax Levy Report"/>
          <xsd:enumeration value="Property Tax Statement"/>
          <xsd:enumeration value="PTD Calendar"/>
          <xsd:enumeration value="Resources"/>
          <xsd:enumeration value="Spring Mini"/>
          <xsd:enumeration value="State Deeds"/>
          <xsd:enumeration value="State General Property Tax"/>
          <xsd:enumeration value="Subcommittee"/>
          <xsd:enumeration value="Tax Calculation Course"/>
          <xsd:enumeration value="Tax Levy Authorizations and Limitations Manual"/>
          <xsd:enumeration value="TIF Credit"/>
          <xsd:enumeration value="TIF Supplement"/>
          <xsd:enumeration value="Truth in Taxation"/>
          <xsd:enumeration value="Utility Valuation Transition Aid"/>
          <xsd:enumeration value="Valuation Notice"/>
        </xsd:restriction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163878-13ee-4a88-963f-d5897c3cf16b" elementFormDefault="qualified">
    <xsd:import namespace="http://schemas.microsoft.com/office/2006/documentManagement/types"/>
    <xsd:import namespace="http://schemas.microsoft.com/office/infopath/2007/PartnerControls"/>
    <xsd:element name="Sort_x0020_Order" ma:index="15" nillable="true" ma:displayName="Sort Order" ma:internalName="Sort_x0020_Ord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_x005f_x0020_Year xmlns="9130277e-1076-48d8-8826-9168779647ca">2017</Tax_x005f_x0020_Year>
    <PTASub xmlns="9130277e-1076-48d8-8826-9168779647ca">CRV and Sales Ratio File</PTASub>
    <Sort_x0020_Order xmlns="20163878-13ee-4a88-963f-d5897c3cf16b">5</Sort_x0020_Order>
    <RoutingRuleDescription xmlns="http://schemas.microsoft.com/sharepoint/v3">2017 Sales Ratio Study Instructions and Criteria</RoutingRuleDescription>
    <Owner xmlns="9130277e-1076-48d8-8826-9168779647ca">52</Owner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3D0550A-A60F-4208-8912-20BFE76B9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0277e-1076-48d8-8826-9168779647ca"/>
    <ds:schemaRef ds:uri="20163878-13ee-4a88-963f-d5897c3cf1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0ADE4E-B4B2-49CA-AA67-5573F9EA4C44}">
  <ds:schemaRefs>
    <ds:schemaRef ds:uri="http://schemas.microsoft.com/office/2006/metadata/properties"/>
    <ds:schemaRef ds:uri="20163878-13ee-4a88-963f-d5897c3cf16b"/>
    <ds:schemaRef ds:uri="http://schemas.microsoft.com/sharepoint/v3"/>
    <ds:schemaRef ds:uri="http://purl.org/dc/terms/"/>
    <ds:schemaRef ds:uri="http://schemas.openxmlformats.org/package/2006/metadata/core-properties"/>
    <ds:schemaRef ds:uri="9130277e-1076-48d8-8826-9168779647ca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C0F9EA-BD1B-46CE-972A-344A9C8EA7C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00178BF-42D0-4468-AA75-B61B33CAFE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EBAED620-718F-4F2B-8E7F-431F36503F45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DOR Methodology</vt:lpstr>
      <vt:lpstr>MarketRates</vt:lpstr>
      <vt:lpstr>PVCalc</vt:lpstr>
      <vt:lpstr>DropdownLists</vt:lpstr>
      <vt:lpstr>Dates</vt:lpstr>
      <vt:lpstr>MarketRate</vt:lpstr>
      <vt:lpstr>PaymentFor</vt:lpstr>
      <vt:lpstr>PaymentTypes</vt:lpstr>
      <vt:lpstr>PropertyTypes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 Financing Adjustment Worksheet</dc:title>
  <dc:creator>Gretchen Buechler</dc:creator>
  <cp:lastModifiedBy>Taylor Forsyth</cp:lastModifiedBy>
  <dcterms:created xsi:type="dcterms:W3CDTF">2016-04-28T21:43:30Z</dcterms:created>
  <dcterms:modified xsi:type="dcterms:W3CDTF">2019-10-16T19:16:38Z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EHMXPVJQYS55-189-519</vt:lpwstr>
  </property>
  <property fmtid="{D5CDD505-2E9C-101B-9397-08002B2CF9AE}" pid="3" name="_dlc_DocIdItemGuid">
    <vt:lpwstr>d72a575a-5330-448e-86d4-a211fd2595c6</vt:lpwstr>
  </property>
  <property fmtid="{D5CDD505-2E9C-101B-9397-08002B2CF9AE}" pid="4" name="_dlc_DocIdUrl">
    <vt:lpwstr>http://www.revenue.state.mn.us/local_gov/prop_tax_admin/_layouts/DocIdRedir.aspx?ID=EHMXPVJQYS55-189-519, EHMXPVJQYS55-189-519</vt:lpwstr>
  </property>
</Properties>
</file>